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7.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8.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10.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11.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1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4.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5.xml" ContentType="application/vnd.openxmlformats-officedocument.drawing+xml"/>
  <Override PartName="/xl/ctrlProps/ctrlProp46.xml" ContentType="application/vnd.ms-excel.controlproperties+xml"/>
  <Override PartName="/xl/ctrlProps/ctrlProp47.xml" ContentType="application/vnd.ms-excel.controlproperties+xml"/>
  <Override PartName="/xl/drawings/drawing16.xml" ContentType="application/vnd.openxmlformats-officedocument.drawing+xml"/>
  <Override PartName="/xl/ctrlProps/ctrlProp48.xml" ContentType="application/vnd.ms-excel.controlproperties+xml"/>
  <Override PartName="/xl/drawings/drawing17.xml" ContentType="application/vnd.openxmlformats-officedocument.drawing+xml"/>
  <Override PartName="/xl/ctrlProps/ctrlProp49.xml" ContentType="application/vnd.ms-excel.controlproperties+xml"/>
  <Override PartName="/xl/drawings/drawing18.xml" ContentType="application/vnd.openxmlformats-officedocument.drawing+xml"/>
  <Override PartName="/xl/ctrlProps/ctrlProp5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updateLinks="never" codeName="DieseArbeitsmappe" defaultThemeVersion="124226"/>
  <mc:AlternateContent xmlns:mc="http://schemas.openxmlformats.org/markup-compatibility/2006">
    <mc:Choice Requires="x15">
      <x15ac:absPath xmlns:x15ac="http://schemas.microsoft.com/office/spreadsheetml/2010/11/ac" url="S:\Kunden\Lychen, Stadt\Reinigung 2026\4-Leistungsbeschreibungen\"/>
    </mc:Choice>
  </mc:AlternateContent>
  <xr:revisionPtr revIDLastSave="0" documentId="13_ncr:1_{97759BA8-0992-44E0-905C-82E98061EB0D}" xr6:coauthVersionLast="47" xr6:coauthVersionMax="47" xr10:uidLastSave="{00000000-0000-0000-0000-000000000000}"/>
  <workbookProtection workbookAlgorithmName="SHA-512" workbookHashValue="85IE3qpNRlppVQ3+71Wd7CwCSWKZEY663UkeobWagOZ+x1W5Zgl4L+uX601G2JlJuG9f/MQoCY6cB0dc3GVImg==" workbookSaltValue="AYOOBSLiBrh539ihFQ3ljw==" workbookSpinCount="100000" lockStructure="1"/>
  <bookViews>
    <workbookView xWindow="-28920" yWindow="-120" windowWidth="29040" windowHeight="15720" tabRatio="861" xr2:uid="{00000000-000D-0000-FFFF-FFFF00000000}"/>
  </bookViews>
  <sheets>
    <sheet name="Inhaltsverzeichnis" sheetId="1" r:id="rId1"/>
    <sheet name="Preisübersicht" sheetId="3" r:id="rId2"/>
    <sheet name="Preisübersicht (nach Bedarf)" sheetId="23" r:id="rId3"/>
    <sheet name="SVS UnterhaltsRG" sheetId="38" r:id="rId4"/>
    <sheet name="SVS GrundRG" sheetId="29" r:id="rId5"/>
    <sheet name="Kal Unter GS Pannwitz" sheetId="62" r:id="rId6"/>
    <sheet name="Kal Grund GS Pannwitz" sheetId="64" r:id="rId7"/>
    <sheet name="Kal Unter Bed GS Pannwitz" sheetId="66" r:id="rId8"/>
    <sheet name="Kal Grund Bed GS Pannwitz" sheetId="69" r:id="rId9"/>
    <sheet name="Kal Unter SH Pannwitz" sheetId="63" r:id="rId10"/>
    <sheet name="Kal Grund SH Pannwitz" sheetId="65" r:id="rId11"/>
    <sheet name="Kal Unter Bed SH Pannwitz" sheetId="67" r:id="rId12"/>
    <sheet name="Kal Unter Bed Sportplatz" sheetId="68" r:id="rId13"/>
    <sheet name="Kal Grund Bed Sportplatz" sheetId="70" r:id="rId14"/>
    <sheet name="Kal Matten Gesamt" sheetId="25" r:id="rId15"/>
    <sheet name="Kal Verbrauch Gesamt" sheetId="26" r:id="rId16"/>
    <sheet name="Kal Ballw u Harzentfernung" sheetId="72" r:id="rId17"/>
    <sheet name="Reinigungstage" sheetId="46" r:id="rId18"/>
  </sheets>
  <definedNames>
    <definedName name="berAuftragskosten" localSheetId="16">SVS #REF!</definedName>
    <definedName name="berAuftragskosten" localSheetId="8">SVS #REF!</definedName>
    <definedName name="berAuftragskosten" localSheetId="13">SVS #REF!</definedName>
    <definedName name="berAuftragskosten" localSheetId="6">SVS #REF!</definedName>
    <definedName name="berAuftragskosten" localSheetId="10">SVS #REF!</definedName>
    <definedName name="berAuftragskosten" localSheetId="7">SVS #REF!</definedName>
    <definedName name="berAuftragskosten" localSheetId="11">SVS #REF!</definedName>
    <definedName name="berAuftragskosten" localSheetId="12">SVS #REF!</definedName>
    <definedName name="berAuftragskosten" localSheetId="5">SVS #REF!</definedName>
    <definedName name="berAuftragskosten" localSheetId="9">SVS #REF!</definedName>
    <definedName name="berAuftragskosten">SVS #REF!</definedName>
    <definedName name="BereichSVSGrundWC" localSheetId="16">#REF!</definedName>
    <definedName name="BereichSVSGrundWC">#REF!</definedName>
    <definedName name="berRGTageObjekt" localSheetId="16">#REF!</definedName>
    <definedName name="berRGTageObjekt">#REF!</definedName>
    <definedName name="_xlnm.Print_Area" localSheetId="0">Inhaltsverzeichnis!$A$1:$N$23</definedName>
    <definedName name="_xlnm.Print_Area" localSheetId="16">'Kal Ballw u Harzentfernung'!$A$1:$E$5</definedName>
    <definedName name="_xlnm.Print_Area" localSheetId="8">'Kal Grund Bed GS Pannwitz'!$A$1:$R$22</definedName>
    <definedName name="_xlnm.Print_Area" localSheetId="13">'Kal Grund Bed Sportplatz'!$A$1:$R$31</definedName>
    <definedName name="_xlnm.Print_Area" localSheetId="6">'Kal Grund GS Pannwitz'!$A$1:$R$75</definedName>
    <definedName name="_xlnm.Print_Area" localSheetId="10">'Kal Grund SH Pannwitz'!$A$1:$R$44</definedName>
    <definedName name="_xlnm.Print_Area" localSheetId="14">'Kal Matten Gesamt'!$A$1:$K$6</definedName>
    <definedName name="_xlnm.Print_Area" localSheetId="7">'Kal Unter Bed GS Pannwitz'!$A$1:$S$78</definedName>
    <definedName name="_xlnm.Print_Area" localSheetId="11">'Kal Unter Bed SH Pannwitz'!$A$1:$S$43</definedName>
    <definedName name="_xlnm.Print_Area" localSheetId="12">'Kal Unter Bed Sportplatz'!$A$1:$S$31</definedName>
    <definedName name="_xlnm.Print_Area" localSheetId="5">'Kal Unter GS Pannwitz'!$A$1:$S$80</definedName>
    <definedName name="_xlnm.Print_Area" localSheetId="9">'Kal Unter SH Pannwitz'!$A$1:$S$47</definedName>
    <definedName name="_xlnm.Print_Area" localSheetId="15">'Kal Verbrauch Gesamt'!$A$1:$G$27</definedName>
    <definedName name="_xlnm.Print_Area" localSheetId="1">Preisübersicht!$A$1:$J$9</definedName>
    <definedName name="_xlnm.Print_Area" localSheetId="2">'Preisübersicht (nach Bedarf)'!$A$1:$H$8</definedName>
    <definedName name="_xlnm.Print_Area" localSheetId="17">Reinigungstage!$A$1:$K$31</definedName>
    <definedName name="_xlnm.Print_Area" localSheetId="4">'SVS GrundRG'!$A$1:$I$79</definedName>
    <definedName name="_xlnm.Print_Area" localSheetId="3">'SVS UnterhaltsRG'!$A$1:$I$79</definedName>
    <definedName name="_xlnm.Print_Titles" localSheetId="8">'Kal Grund Bed GS Pannwitz'!$20:$21</definedName>
    <definedName name="_xlnm.Print_Titles" localSheetId="13">'Kal Grund Bed Sportplatz'!$20:$21</definedName>
    <definedName name="_xlnm.Print_Titles" localSheetId="6">'Kal Grund GS Pannwitz'!$20:$21</definedName>
    <definedName name="_xlnm.Print_Titles" localSheetId="10">'Kal Grund SH Pannwitz'!$20:$21</definedName>
    <definedName name="_xlnm.Print_Titles" localSheetId="7">'Kal Unter Bed GS Pannwitz'!$20:$21</definedName>
    <definedName name="_xlnm.Print_Titles" localSheetId="11">'Kal Unter Bed SH Pannwitz'!$20:$21</definedName>
    <definedName name="_xlnm.Print_Titles" localSheetId="12">'Kal Unter Bed Sportplatz'!$20:$21</definedName>
    <definedName name="_xlnm.Print_Titles" localSheetId="5">'Kal Unter GS Pannwitz'!$20:$21</definedName>
    <definedName name="_xlnm.Print_Titles" localSheetId="9">'Kal Unter SH Pannwitz'!$20:$21</definedName>
    <definedName name="_xlnm.Print_Titles" localSheetId="1">Preisübersicht!$1:$5</definedName>
    <definedName name="_xlnm.Print_Titles" localSheetId="2">'Preisübersicht (nach Bedarf)'!$1:$5</definedName>
    <definedName name="Ferien" localSheetId="16">#REF!</definedName>
    <definedName name="Ferien">#REF!</definedName>
    <definedName name="sAuftragskosten" localSheetId="16">SVS #REF!</definedName>
    <definedName name="sAuftragskosten" localSheetId="8">SVS #REF!</definedName>
    <definedName name="sAuftragskosten" localSheetId="13">SVS #REF!</definedName>
    <definedName name="sAuftragskosten" localSheetId="6">SVS #REF!</definedName>
    <definedName name="sAuftragskosten" localSheetId="10">SVS #REF!</definedName>
    <definedName name="sAuftragskosten" localSheetId="7">SVS #REF!</definedName>
    <definedName name="sAuftragskosten" localSheetId="11">SVS #REF!</definedName>
    <definedName name="sAuftragskosten" localSheetId="12">SVS #REF!</definedName>
    <definedName name="sAuftragskosten" localSheetId="5">SVS #REF!</definedName>
    <definedName name="sAuftragskosten" localSheetId="9">SVS #REF!</definedName>
    <definedName name="sAuftragskosten">SVS #REF!</definedName>
    <definedName name="SVListe" localSheetId="16">#REF!</definedName>
    <definedName name="SVListe">#REF!</definedName>
    <definedName name="TTListe" localSheetId="16">#REF!</definedName>
    <definedName name="TTListe">#REF!</definedName>
    <definedName name="Turnus" localSheetId="16">#REF!</definedName>
    <definedName name="Turnus">#REF!</definedName>
    <definedName name="TurnusKita" localSheetId="16">#REF!</definedName>
    <definedName name="TurnusKita">#REF!</definedName>
    <definedName name="TurnusSchule" localSheetId="16">#REF!</definedName>
    <definedName name="TurnusSchule">#REF!</definedName>
    <definedName name="TurnusVerwaltung" localSheetId="16">#REF!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70" l="1"/>
  <c r="L21" i="68"/>
  <c r="L21" i="67"/>
  <c r="L21" i="65"/>
  <c r="L21" i="63"/>
  <c r="L21" i="69"/>
  <c r="L21" i="66"/>
  <c r="L21" i="64"/>
  <c r="L21" i="62"/>
  <c r="I22" i="1"/>
  <c r="F7" i="3"/>
  <c r="J23" i="1" l="1"/>
  <c r="J22" i="1"/>
  <c r="J21" i="1"/>
  <c r="H22" i="1"/>
  <c r="E22" i="1"/>
  <c r="E21" i="1"/>
  <c r="F6" i="1"/>
  <c r="G8" i="3"/>
  <c r="H8" i="3" s="1"/>
  <c r="J8" i="3" s="1"/>
  <c r="I8" i="3" s="1"/>
  <c r="G7" i="3"/>
  <c r="E7" i="3"/>
  <c r="G6" i="3"/>
  <c r="F5" i="72"/>
  <c r="F3" i="72"/>
  <c r="D2" i="72"/>
  <c r="B2" i="72" l="1"/>
  <c r="E5" i="72"/>
  <c r="H3" i="26" l="1"/>
  <c r="H23" i="26"/>
  <c r="G23" i="26"/>
  <c r="H22" i="26"/>
  <c r="G22" i="26"/>
  <c r="H21" i="26"/>
  <c r="G21" i="26"/>
  <c r="H20" i="26"/>
  <c r="G20" i="26"/>
  <c r="H19" i="26"/>
  <c r="G19" i="26"/>
  <c r="H18" i="26"/>
  <c r="G18" i="26"/>
  <c r="H17" i="26"/>
  <c r="G17" i="26"/>
  <c r="H16" i="26"/>
  <c r="G16" i="26"/>
  <c r="H15" i="26"/>
  <c r="G15" i="26"/>
  <c r="H14" i="26"/>
  <c r="G14" i="26"/>
  <c r="H13" i="26"/>
  <c r="G13" i="26"/>
  <c r="H12" i="26"/>
  <c r="G12" i="26"/>
  <c r="H11" i="26"/>
  <c r="G11" i="26"/>
  <c r="H10" i="26"/>
  <c r="G10" i="26"/>
  <c r="H9" i="26"/>
  <c r="G9" i="26"/>
  <c r="H8" i="26"/>
  <c r="G8" i="26"/>
  <c r="H7" i="26"/>
  <c r="G7" i="26"/>
  <c r="H6" i="26"/>
  <c r="G6" i="26"/>
  <c r="H5" i="26"/>
  <c r="G5" i="26"/>
  <c r="L3" i="25"/>
  <c r="L6" i="25"/>
  <c r="K6" i="25"/>
  <c r="H6" i="25"/>
  <c r="U31" i="70"/>
  <c r="U30" i="70"/>
  <c r="U29" i="70"/>
  <c r="U28" i="70"/>
  <c r="V28" i="70" s="1"/>
  <c r="W28" i="70" s="1"/>
  <c r="X28" i="70" s="1"/>
  <c r="U27" i="70"/>
  <c r="U26" i="70"/>
  <c r="U25" i="70"/>
  <c r="V25" i="70" s="1"/>
  <c r="W25" i="70" s="1"/>
  <c r="U24" i="70"/>
  <c r="U23" i="70"/>
  <c r="U22" i="70"/>
  <c r="N31" i="70"/>
  <c r="N30" i="70"/>
  <c r="P30" i="70" s="1"/>
  <c r="N29" i="70"/>
  <c r="P29" i="70" s="1"/>
  <c r="N28" i="70"/>
  <c r="N27" i="70"/>
  <c r="P27" i="70" s="1"/>
  <c r="N26" i="70"/>
  <c r="N25" i="70"/>
  <c r="N24" i="70"/>
  <c r="N23" i="70"/>
  <c r="P23" i="70" s="1"/>
  <c r="N22" i="70"/>
  <c r="M21" i="70"/>
  <c r="I21" i="70"/>
  <c r="H21" i="70"/>
  <c r="G21" i="70"/>
  <c r="M31" i="70"/>
  <c r="M30" i="70"/>
  <c r="W29" i="70"/>
  <c r="V29" i="70"/>
  <c r="M29" i="70"/>
  <c r="M28" i="70"/>
  <c r="M27" i="70"/>
  <c r="M26" i="70"/>
  <c r="M25" i="70"/>
  <c r="V24" i="70"/>
  <c r="W24" i="70" s="1"/>
  <c r="M24" i="70"/>
  <c r="M23" i="70"/>
  <c r="W22" i="70"/>
  <c r="V22" i="70"/>
  <c r="M22" i="70"/>
  <c r="U22" i="69"/>
  <c r="V22" i="69" s="1"/>
  <c r="W22" i="69" s="1"/>
  <c r="N22" i="69"/>
  <c r="I21" i="69"/>
  <c r="H21" i="69"/>
  <c r="G21" i="69"/>
  <c r="U31" i="68"/>
  <c r="V31" i="68" s="1"/>
  <c r="U30" i="68"/>
  <c r="U29" i="68"/>
  <c r="U28" i="68"/>
  <c r="U27" i="68"/>
  <c r="U26" i="68"/>
  <c r="U25" i="68"/>
  <c r="U24" i="68"/>
  <c r="U23" i="68"/>
  <c r="U22" i="68"/>
  <c r="N31" i="68"/>
  <c r="N30" i="68"/>
  <c r="P30" i="68" s="1"/>
  <c r="R30" i="68" s="1"/>
  <c r="N29" i="68"/>
  <c r="P29" i="68" s="1"/>
  <c r="R29" i="68" s="1"/>
  <c r="N28" i="68"/>
  <c r="N27" i="68"/>
  <c r="N26" i="68"/>
  <c r="V26" i="68" s="1"/>
  <c r="N25" i="68"/>
  <c r="P25" i="68" s="1"/>
  <c r="R25" i="68" s="1"/>
  <c r="N24" i="68"/>
  <c r="P24" i="68" s="1"/>
  <c r="R24" i="68" s="1"/>
  <c r="N23" i="68"/>
  <c r="V23" i="68" s="1"/>
  <c r="N22" i="68"/>
  <c r="V22" i="68" s="1"/>
  <c r="R21" i="68"/>
  <c r="M21" i="68"/>
  <c r="I21" i="68"/>
  <c r="H21" i="68"/>
  <c r="G21" i="68"/>
  <c r="M31" i="68"/>
  <c r="M30" i="68"/>
  <c r="V29" i="68"/>
  <c r="M29" i="68"/>
  <c r="M28" i="68"/>
  <c r="M27" i="68"/>
  <c r="M26" i="68"/>
  <c r="M25" i="68"/>
  <c r="M24" i="68"/>
  <c r="M23" i="68"/>
  <c r="M22" i="68"/>
  <c r="U43" i="67"/>
  <c r="U42" i="67"/>
  <c r="U41" i="67"/>
  <c r="U40" i="67"/>
  <c r="U39" i="67"/>
  <c r="U38" i="67"/>
  <c r="U37" i="67"/>
  <c r="U36" i="67"/>
  <c r="U35" i="67"/>
  <c r="U34" i="67"/>
  <c r="U33" i="67"/>
  <c r="U32" i="67"/>
  <c r="U31" i="67"/>
  <c r="U30" i="67"/>
  <c r="U29" i="67"/>
  <c r="U28" i="67"/>
  <c r="U27" i="67"/>
  <c r="U26" i="67"/>
  <c r="U25" i="67"/>
  <c r="U24" i="67"/>
  <c r="U23" i="67"/>
  <c r="U22" i="67"/>
  <c r="N43" i="67"/>
  <c r="P43" i="67" s="1"/>
  <c r="R43" i="67" s="1"/>
  <c r="N42" i="67"/>
  <c r="N41" i="67"/>
  <c r="N40" i="67"/>
  <c r="N39" i="67"/>
  <c r="N38" i="67"/>
  <c r="N37" i="67"/>
  <c r="N36" i="67"/>
  <c r="N35" i="67"/>
  <c r="P35" i="67" s="1"/>
  <c r="R35" i="67" s="1"/>
  <c r="N34" i="67"/>
  <c r="P34" i="67" s="1"/>
  <c r="R34" i="67" s="1"/>
  <c r="N33" i="67"/>
  <c r="P33" i="67" s="1"/>
  <c r="R33" i="67" s="1"/>
  <c r="N32" i="67"/>
  <c r="P32" i="67" s="1"/>
  <c r="R32" i="67" s="1"/>
  <c r="N31" i="67"/>
  <c r="P31" i="67" s="1"/>
  <c r="R31" i="67" s="1"/>
  <c r="N30" i="67"/>
  <c r="P30" i="67" s="1"/>
  <c r="R30" i="67" s="1"/>
  <c r="N29" i="67"/>
  <c r="N28" i="67"/>
  <c r="N27" i="67"/>
  <c r="P27" i="67" s="1"/>
  <c r="R27" i="67" s="1"/>
  <c r="N26" i="67"/>
  <c r="P26" i="67" s="1"/>
  <c r="R26" i="67" s="1"/>
  <c r="N25" i="67"/>
  <c r="P25" i="67" s="1"/>
  <c r="R25" i="67" s="1"/>
  <c r="N24" i="67"/>
  <c r="N23" i="67"/>
  <c r="N22" i="67"/>
  <c r="P22" i="67" s="1"/>
  <c r="I21" i="67"/>
  <c r="H21" i="67"/>
  <c r="G21" i="67"/>
  <c r="U78" i="66"/>
  <c r="U77" i="66"/>
  <c r="U76" i="66"/>
  <c r="U75" i="66"/>
  <c r="U74" i="66"/>
  <c r="U73" i="66"/>
  <c r="U72" i="66"/>
  <c r="U71" i="66"/>
  <c r="U70" i="66"/>
  <c r="U69" i="66"/>
  <c r="U68" i="66"/>
  <c r="U67" i="66"/>
  <c r="U66" i="66"/>
  <c r="U65" i="66"/>
  <c r="U64" i="66"/>
  <c r="U63" i="66"/>
  <c r="U62" i="66"/>
  <c r="U61" i="66"/>
  <c r="U60" i="66"/>
  <c r="U59" i="66"/>
  <c r="U58" i="66"/>
  <c r="U57" i="66"/>
  <c r="U56" i="66"/>
  <c r="U55" i="66"/>
  <c r="U54" i="66"/>
  <c r="U53" i="66"/>
  <c r="U52" i="66"/>
  <c r="U51" i="66"/>
  <c r="U50" i="66"/>
  <c r="U49" i="66"/>
  <c r="U48" i="66"/>
  <c r="U47" i="66"/>
  <c r="U46" i="66"/>
  <c r="U45" i="66"/>
  <c r="U44" i="66"/>
  <c r="U43" i="66"/>
  <c r="U42" i="66"/>
  <c r="U41" i="66"/>
  <c r="U40" i="66"/>
  <c r="U39" i="66"/>
  <c r="U38" i="66"/>
  <c r="U37" i="66"/>
  <c r="U36" i="66"/>
  <c r="U35" i="66"/>
  <c r="U34" i="66"/>
  <c r="U33" i="66"/>
  <c r="U32" i="66"/>
  <c r="U31" i="66"/>
  <c r="U30" i="66"/>
  <c r="U29" i="66"/>
  <c r="U28" i="66"/>
  <c r="U27" i="66"/>
  <c r="U26" i="66"/>
  <c r="U25" i="66"/>
  <c r="U24" i="66"/>
  <c r="U23" i="66"/>
  <c r="U22" i="66"/>
  <c r="N78" i="66"/>
  <c r="P78" i="66" s="1"/>
  <c r="R78" i="66" s="1"/>
  <c r="N77" i="66"/>
  <c r="P77" i="66" s="1"/>
  <c r="R77" i="66" s="1"/>
  <c r="N76" i="66"/>
  <c r="P76" i="66" s="1"/>
  <c r="R76" i="66" s="1"/>
  <c r="N75" i="66"/>
  <c r="N74" i="66"/>
  <c r="N73" i="66"/>
  <c r="P73" i="66" s="1"/>
  <c r="R73" i="66" s="1"/>
  <c r="N72" i="66"/>
  <c r="P72" i="66" s="1"/>
  <c r="R72" i="66" s="1"/>
  <c r="N71" i="66"/>
  <c r="N70" i="66"/>
  <c r="N69" i="66"/>
  <c r="P69" i="66" s="1"/>
  <c r="R69" i="66" s="1"/>
  <c r="N68" i="66"/>
  <c r="P68" i="66" s="1"/>
  <c r="R68" i="66" s="1"/>
  <c r="N67" i="66"/>
  <c r="N66" i="66"/>
  <c r="N65" i="66"/>
  <c r="P65" i="66" s="1"/>
  <c r="R65" i="66" s="1"/>
  <c r="N64" i="66"/>
  <c r="N63" i="66"/>
  <c r="N62" i="66"/>
  <c r="N61" i="66"/>
  <c r="P61" i="66" s="1"/>
  <c r="R61" i="66" s="1"/>
  <c r="N60" i="66"/>
  <c r="N59" i="66"/>
  <c r="N58" i="66"/>
  <c r="P58" i="66" s="1"/>
  <c r="R58" i="66" s="1"/>
  <c r="N57" i="66"/>
  <c r="P57" i="66" s="1"/>
  <c r="R57" i="66" s="1"/>
  <c r="N56" i="66"/>
  <c r="N55" i="66"/>
  <c r="P55" i="66" s="1"/>
  <c r="R55" i="66" s="1"/>
  <c r="N54" i="66"/>
  <c r="N53" i="66"/>
  <c r="P53" i="66" s="1"/>
  <c r="R53" i="66" s="1"/>
  <c r="N52" i="66"/>
  <c r="P52" i="66" s="1"/>
  <c r="R52" i="66" s="1"/>
  <c r="N51" i="66"/>
  <c r="P51" i="66" s="1"/>
  <c r="R51" i="66" s="1"/>
  <c r="N50" i="66"/>
  <c r="N49" i="66"/>
  <c r="N48" i="66"/>
  <c r="N47" i="66"/>
  <c r="N46" i="66"/>
  <c r="P46" i="66" s="1"/>
  <c r="R46" i="66" s="1"/>
  <c r="N45" i="66"/>
  <c r="P45" i="66" s="1"/>
  <c r="R45" i="66" s="1"/>
  <c r="N44" i="66"/>
  <c r="N43" i="66"/>
  <c r="N42" i="66"/>
  <c r="N41" i="66"/>
  <c r="P41" i="66" s="1"/>
  <c r="R41" i="66" s="1"/>
  <c r="N40" i="66"/>
  <c r="N39" i="66"/>
  <c r="N38" i="66"/>
  <c r="N37" i="66"/>
  <c r="N36" i="66"/>
  <c r="P36" i="66" s="1"/>
  <c r="R36" i="66" s="1"/>
  <c r="N35" i="66"/>
  <c r="N34" i="66"/>
  <c r="N33" i="66"/>
  <c r="P33" i="66" s="1"/>
  <c r="R33" i="66" s="1"/>
  <c r="N32" i="66"/>
  <c r="N31" i="66"/>
  <c r="N30" i="66"/>
  <c r="P30" i="66" s="1"/>
  <c r="R30" i="66" s="1"/>
  <c r="N29" i="66"/>
  <c r="P29" i="66" s="1"/>
  <c r="R29" i="66" s="1"/>
  <c r="N28" i="66"/>
  <c r="N27" i="66"/>
  <c r="N26" i="66"/>
  <c r="P26" i="66" s="1"/>
  <c r="R26" i="66" s="1"/>
  <c r="N25" i="66"/>
  <c r="P25" i="66" s="1"/>
  <c r="R25" i="66" s="1"/>
  <c r="N24" i="66"/>
  <c r="N23" i="66"/>
  <c r="P23" i="66" s="1"/>
  <c r="R23" i="66" s="1"/>
  <c r="N22" i="66"/>
  <c r="R21" i="66"/>
  <c r="I21" i="66"/>
  <c r="H21" i="66"/>
  <c r="G21" i="66"/>
  <c r="P75" i="66"/>
  <c r="R75" i="66" s="1"/>
  <c r="P74" i="66"/>
  <c r="R74" i="66" s="1"/>
  <c r="P67" i="66"/>
  <c r="R67" i="66" s="1"/>
  <c r="P66" i="66"/>
  <c r="R66" i="66" s="1"/>
  <c r="P64" i="66"/>
  <c r="R64" i="66" s="1"/>
  <c r="P63" i="66"/>
  <c r="R63" i="66" s="1"/>
  <c r="P62" i="66"/>
  <c r="R62" i="66" s="1"/>
  <c r="P60" i="66"/>
  <c r="R60" i="66" s="1"/>
  <c r="P59" i="66"/>
  <c r="R59" i="66" s="1"/>
  <c r="P50" i="66"/>
  <c r="R50" i="66" s="1"/>
  <c r="P49" i="66"/>
  <c r="R49" i="66" s="1"/>
  <c r="P48" i="66"/>
  <c r="R48" i="66" s="1"/>
  <c r="P47" i="66"/>
  <c r="R47" i="66" s="1"/>
  <c r="P44" i="66"/>
  <c r="R44" i="66" s="1"/>
  <c r="P43" i="66"/>
  <c r="R43" i="66" s="1"/>
  <c r="P42" i="66"/>
  <c r="R42" i="66" s="1"/>
  <c r="P39" i="66"/>
  <c r="R39" i="66" s="1"/>
  <c r="P35" i="66"/>
  <c r="R35" i="66" s="1"/>
  <c r="P34" i="66"/>
  <c r="R34" i="66" s="1"/>
  <c r="P32" i="66"/>
  <c r="R32" i="66" s="1"/>
  <c r="P31" i="66"/>
  <c r="R31" i="66" s="1"/>
  <c r="P28" i="66"/>
  <c r="R28" i="66" s="1"/>
  <c r="P27" i="66"/>
  <c r="R27" i="66" s="1"/>
  <c r="U44" i="65"/>
  <c r="U43" i="65"/>
  <c r="V43" i="65" s="1"/>
  <c r="W43" i="65" s="1"/>
  <c r="U42" i="65"/>
  <c r="V42" i="65" s="1"/>
  <c r="W42" i="65" s="1"/>
  <c r="U41" i="65"/>
  <c r="V41" i="65" s="1"/>
  <c r="W41" i="65" s="1"/>
  <c r="U40" i="65"/>
  <c r="U39" i="65"/>
  <c r="U38" i="65"/>
  <c r="U37" i="65"/>
  <c r="U36" i="65"/>
  <c r="U35" i="65"/>
  <c r="U34" i="65"/>
  <c r="V34" i="65" s="1"/>
  <c r="W34" i="65" s="1"/>
  <c r="U33" i="65"/>
  <c r="U32" i="65"/>
  <c r="V32" i="65" s="1"/>
  <c r="W32" i="65" s="1"/>
  <c r="U31" i="65"/>
  <c r="V31" i="65" s="1"/>
  <c r="W31" i="65" s="1"/>
  <c r="U30" i="65"/>
  <c r="U29" i="65"/>
  <c r="V29" i="65" s="1"/>
  <c r="W29" i="65" s="1"/>
  <c r="U28" i="65"/>
  <c r="V28" i="65" s="1"/>
  <c r="W28" i="65" s="1"/>
  <c r="U27" i="65"/>
  <c r="V27" i="65" s="1"/>
  <c r="W27" i="65" s="1"/>
  <c r="U26" i="65"/>
  <c r="V26" i="65" s="1"/>
  <c r="W26" i="65" s="1"/>
  <c r="U25" i="65"/>
  <c r="V25" i="65" s="1"/>
  <c r="U24" i="65"/>
  <c r="U23" i="65"/>
  <c r="U22" i="65"/>
  <c r="V22" i="65" s="1"/>
  <c r="W22" i="65" s="1"/>
  <c r="N44" i="65"/>
  <c r="P44" i="65" s="1"/>
  <c r="N43" i="65"/>
  <c r="N42" i="65"/>
  <c r="N41" i="65"/>
  <c r="N40" i="65"/>
  <c r="P40" i="65" s="1"/>
  <c r="N39" i="65"/>
  <c r="P39" i="65" s="1"/>
  <c r="N38" i="65"/>
  <c r="P38" i="65" s="1"/>
  <c r="N37" i="65"/>
  <c r="P37" i="65" s="1"/>
  <c r="N36" i="65"/>
  <c r="P36" i="65" s="1"/>
  <c r="N35" i="65"/>
  <c r="P35" i="65" s="1"/>
  <c r="N34" i="65"/>
  <c r="X34" i="65" s="1"/>
  <c r="N33" i="65"/>
  <c r="P33" i="65" s="1"/>
  <c r="N32" i="65"/>
  <c r="N31" i="65"/>
  <c r="P31" i="65" s="1"/>
  <c r="N30" i="65"/>
  <c r="P30" i="65" s="1"/>
  <c r="N29" i="65"/>
  <c r="P29" i="65" s="1"/>
  <c r="N28" i="65"/>
  <c r="P28" i="65" s="1"/>
  <c r="N27" i="65"/>
  <c r="N26" i="65"/>
  <c r="P26" i="65" s="1"/>
  <c r="N25" i="65"/>
  <c r="N24" i="65"/>
  <c r="P24" i="65" s="1"/>
  <c r="N23" i="65"/>
  <c r="P23" i="65" s="1"/>
  <c r="N22" i="65"/>
  <c r="X22" i="65" s="1"/>
  <c r="I21" i="65"/>
  <c r="H21" i="65"/>
  <c r="G21" i="65"/>
  <c r="P43" i="65"/>
  <c r="V40" i="65"/>
  <c r="W40" i="65" s="1"/>
  <c r="W39" i="65"/>
  <c r="V39" i="65"/>
  <c r="V38" i="65"/>
  <c r="W38" i="65" s="1"/>
  <c r="V36" i="65"/>
  <c r="W36" i="65" s="1"/>
  <c r="V35" i="65"/>
  <c r="W35" i="65" s="1"/>
  <c r="V24" i="65"/>
  <c r="V23" i="65"/>
  <c r="W23" i="65" s="1"/>
  <c r="U75" i="64"/>
  <c r="U74" i="64"/>
  <c r="V74" i="64" s="1"/>
  <c r="W74" i="64" s="1"/>
  <c r="U73" i="64"/>
  <c r="V73" i="64" s="1"/>
  <c r="W73" i="64" s="1"/>
  <c r="U72" i="64"/>
  <c r="U71" i="64"/>
  <c r="V71" i="64" s="1"/>
  <c r="U70" i="64"/>
  <c r="V70" i="64" s="1"/>
  <c r="W70" i="64" s="1"/>
  <c r="U69" i="64"/>
  <c r="V69" i="64" s="1"/>
  <c r="W69" i="64" s="1"/>
  <c r="U68" i="64"/>
  <c r="V68" i="64" s="1"/>
  <c r="W68" i="64" s="1"/>
  <c r="U67" i="64"/>
  <c r="U66" i="64"/>
  <c r="U65" i="64"/>
  <c r="U64" i="64"/>
  <c r="U63" i="64"/>
  <c r="V63" i="64" s="1"/>
  <c r="W63" i="64" s="1"/>
  <c r="U62" i="64"/>
  <c r="V62" i="64" s="1"/>
  <c r="W62" i="64" s="1"/>
  <c r="U61" i="64"/>
  <c r="V61" i="64" s="1"/>
  <c r="W61" i="64" s="1"/>
  <c r="U60" i="64"/>
  <c r="V60" i="64" s="1"/>
  <c r="W60" i="64" s="1"/>
  <c r="U59" i="64"/>
  <c r="V59" i="64" s="1"/>
  <c r="W59" i="64" s="1"/>
  <c r="U58" i="64"/>
  <c r="V58" i="64" s="1"/>
  <c r="W58" i="64" s="1"/>
  <c r="U57" i="64"/>
  <c r="V57" i="64" s="1"/>
  <c r="W57" i="64" s="1"/>
  <c r="U56" i="64"/>
  <c r="V56" i="64" s="1"/>
  <c r="U55" i="64"/>
  <c r="V55" i="64" s="1"/>
  <c r="W55" i="64" s="1"/>
  <c r="U54" i="64"/>
  <c r="U53" i="64"/>
  <c r="V53" i="64" s="1"/>
  <c r="W53" i="64" s="1"/>
  <c r="U52" i="64"/>
  <c r="U51" i="64"/>
  <c r="U50" i="64"/>
  <c r="U49" i="64"/>
  <c r="V49" i="64" s="1"/>
  <c r="W49" i="64" s="1"/>
  <c r="U48" i="64"/>
  <c r="V48" i="64" s="1"/>
  <c r="W48" i="64" s="1"/>
  <c r="U47" i="64"/>
  <c r="V47" i="64" s="1"/>
  <c r="W47" i="64" s="1"/>
  <c r="U46" i="64"/>
  <c r="V46" i="64" s="1"/>
  <c r="W46" i="64" s="1"/>
  <c r="U45" i="64"/>
  <c r="V45" i="64" s="1"/>
  <c r="W45" i="64" s="1"/>
  <c r="U44" i="64"/>
  <c r="V44" i="64" s="1"/>
  <c r="W44" i="64" s="1"/>
  <c r="U43" i="64"/>
  <c r="V43" i="64" s="1"/>
  <c r="W43" i="64" s="1"/>
  <c r="U42" i="64"/>
  <c r="V42" i="64" s="1"/>
  <c r="W42" i="64" s="1"/>
  <c r="U41" i="64"/>
  <c r="V41" i="64" s="1"/>
  <c r="U40" i="64"/>
  <c r="V40" i="64" s="1"/>
  <c r="W40" i="64" s="1"/>
  <c r="U39" i="64"/>
  <c r="V39" i="64" s="1"/>
  <c r="W39" i="64" s="1"/>
  <c r="U38" i="64"/>
  <c r="V38" i="64" s="1"/>
  <c r="W38" i="64" s="1"/>
  <c r="U37" i="64"/>
  <c r="V37" i="64" s="1"/>
  <c r="W37" i="64" s="1"/>
  <c r="U36" i="64"/>
  <c r="U35" i="64"/>
  <c r="U34" i="64"/>
  <c r="U33" i="64"/>
  <c r="U32" i="64"/>
  <c r="U31" i="64"/>
  <c r="V31" i="64" s="1"/>
  <c r="W31" i="64" s="1"/>
  <c r="U30" i="64"/>
  <c r="V30" i="64" s="1"/>
  <c r="W30" i="64" s="1"/>
  <c r="U29" i="64"/>
  <c r="V29" i="64" s="1"/>
  <c r="W29" i="64" s="1"/>
  <c r="U28" i="64"/>
  <c r="V28" i="64" s="1"/>
  <c r="W28" i="64" s="1"/>
  <c r="U27" i="64"/>
  <c r="V27" i="64" s="1"/>
  <c r="W27" i="64" s="1"/>
  <c r="U26" i="64"/>
  <c r="V26" i="64" s="1"/>
  <c r="W26" i="64" s="1"/>
  <c r="U25" i="64"/>
  <c r="V25" i="64" s="1"/>
  <c r="W25" i="64" s="1"/>
  <c r="U24" i="64"/>
  <c r="V24" i="64" s="1"/>
  <c r="W24" i="64" s="1"/>
  <c r="U23" i="64"/>
  <c r="V23" i="64" s="1"/>
  <c r="W23" i="64" s="1"/>
  <c r="U22" i="64"/>
  <c r="V22" i="64" s="1"/>
  <c r="W22" i="64" s="1"/>
  <c r="N75" i="64"/>
  <c r="P75" i="64" s="1"/>
  <c r="N74" i="64"/>
  <c r="P74" i="64" s="1"/>
  <c r="N73" i="64"/>
  <c r="X73" i="64" s="1"/>
  <c r="N72" i="64"/>
  <c r="P72" i="64" s="1"/>
  <c r="N71" i="64"/>
  <c r="N70" i="64"/>
  <c r="P70" i="64" s="1"/>
  <c r="N69" i="64"/>
  <c r="P69" i="64" s="1"/>
  <c r="N68" i="64"/>
  <c r="P68" i="64" s="1"/>
  <c r="N67" i="64"/>
  <c r="P67" i="64" s="1"/>
  <c r="N66" i="64"/>
  <c r="P66" i="64" s="1"/>
  <c r="N65" i="64"/>
  <c r="P65" i="64" s="1"/>
  <c r="N64" i="64"/>
  <c r="P64" i="64" s="1"/>
  <c r="N63" i="64"/>
  <c r="P63" i="64" s="1"/>
  <c r="N62" i="64"/>
  <c r="P62" i="64" s="1"/>
  <c r="N61" i="64"/>
  <c r="P61" i="64" s="1"/>
  <c r="N60" i="64"/>
  <c r="P60" i="64" s="1"/>
  <c r="N59" i="64"/>
  <c r="P59" i="64" s="1"/>
  <c r="N58" i="64"/>
  <c r="N57" i="64"/>
  <c r="X57" i="64" s="1"/>
  <c r="N56" i="64"/>
  <c r="N55" i="64"/>
  <c r="P55" i="64" s="1"/>
  <c r="N54" i="64"/>
  <c r="N53" i="64"/>
  <c r="P53" i="64" s="1"/>
  <c r="N52" i="64"/>
  <c r="P52" i="64" s="1"/>
  <c r="N51" i="64"/>
  <c r="P51" i="64" s="1"/>
  <c r="N50" i="64"/>
  <c r="P50" i="64" s="1"/>
  <c r="N49" i="64"/>
  <c r="P49" i="64" s="1"/>
  <c r="N48" i="64"/>
  <c r="P48" i="64" s="1"/>
  <c r="N47" i="64"/>
  <c r="P47" i="64" s="1"/>
  <c r="N46" i="64"/>
  <c r="P46" i="64" s="1"/>
  <c r="N45" i="64"/>
  <c r="P45" i="64" s="1"/>
  <c r="N44" i="64"/>
  <c r="P44" i="64" s="1"/>
  <c r="N43" i="64"/>
  <c r="N42" i="64"/>
  <c r="N41" i="64"/>
  <c r="N40" i="64"/>
  <c r="N39" i="64"/>
  <c r="P39" i="64" s="1"/>
  <c r="N38" i="64"/>
  <c r="P38" i="64" s="1"/>
  <c r="N37" i="64"/>
  <c r="P37" i="64" s="1"/>
  <c r="N36" i="64"/>
  <c r="P36" i="64" s="1"/>
  <c r="N35" i="64"/>
  <c r="P35" i="64" s="1"/>
  <c r="N34" i="64"/>
  <c r="P34" i="64" s="1"/>
  <c r="N33" i="64"/>
  <c r="P33" i="64" s="1"/>
  <c r="N32" i="64"/>
  <c r="P32" i="64" s="1"/>
  <c r="N31" i="64"/>
  <c r="X31" i="64" s="1"/>
  <c r="N30" i="64"/>
  <c r="P30" i="64" s="1"/>
  <c r="N29" i="64"/>
  <c r="P29" i="64" s="1"/>
  <c r="N28" i="64"/>
  <c r="P28" i="64" s="1"/>
  <c r="N27" i="64"/>
  <c r="N26" i="64"/>
  <c r="P26" i="64" s="1"/>
  <c r="N25" i="64"/>
  <c r="N24" i="64"/>
  <c r="N23" i="64"/>
  <c r="P23" i="64" s="1"/>
  <c r="N22" i="64"/>
  <c r="P22" i="64" s="1"/>
  <c r="I21" i="64"/>
  <c r="H21" i="64"/>
  <c r="G21" i="64"/>
  <c r="V66" i="64"/>
  <c r="W66" i="64" s="1"/>
  <c r="V65" i="64"/>
  <c r="W65" i="64" s="1"/>
  <c r="P54" i="64"/>
  <c r="V52" i="64"/>
  <c r="W52" i="64" s="1"/>
  <c r="V51" i="64"/>
  <c r="W51" i="64" s="1"/>
  <c r="V50" i="64"/>
  <c r="W50" i="64" s="1"/>
  <c r="P42" i="64"/>
  <c r="V36" i="64"/>
  <c r="W36" i="64" s="1"/>
  <c r="V35" i="64"/>
  <c r="W35" i="64" s="1"/>
  <c r="V33" i="64"/>
  <c r="W33" i="64" s="1"/>
  <c r="V32" i="64"/>
  <c r="W32" i="64" s="1"/>
  <c r="U47" i="63"/>
  <c r="U46" i="63"/>
  <c r="U45" i="63"/>
  <c r="U44" i="63"/>
  <c r="U43" i="63"/>
  <c r="U42" i="63"/>
  <c r="U41" i="63"/>
  <c r="U40" i="63"/>
  <c r="U39" i="63"/>
  <c r="U38" i="63"/>
  <c r="U37" i="63"/>
  <c r="U36" i="63"/>
  <c r="U35" i="63"/>
  <c r="U34" i="63"/>
  <c r="U33" i="63"/>
  <c r="U32" i="63"/>
  <c r="U31" i="63"/>
  <c r="U30" i="63"/>
  <c r="U29" i="63"/>
  <c r="U28" i="63"/>
  <c r="U27" i="63"/>
  <c r="U26" i="63"/>
  <c r="U25" i="63"/>
  <c r="U24" i="63"/>
  <c r="U23" i="63"/>
  <c r="U22" i="63"/>
  <c r="N47" i="63"/>
  <c r="P47" i="63" s="1"/>
  <c r="R47" i="63" s="1"/>
  <c r="N46" i="63"/>
  <c r="V46" i="63" s="1"/>
  <c r="N45" i="63"/>
  <c r="N44" i="63"/>
  <c r="P44" i="63" s="1"/>
  <c r="R44" i="63" s="1"/>
  <c r="N43" i="63"/>
  <c r="V43" i="63" s="1"/>
  <c r="N42" i="63"/>
  <c r="P42" i="63" s="1"/>
  <c r="R42" i="63" s="1"/>
  <c r="N41" i="63"/>
  <c r="N40" i="63"/>
  <c r="N39" i="63"/>
  <c r="V39" i="63" s="1"/>
  <c r="N38" i="63"/>
  <c r="N37" i="63"/>
  <c r="N36" i="63"/>
  <c r="N35" i="63"/>
  <c r="N34" i="63"/>
  <c r="N33" i="63"/>
  <c r="N32" i="63"/>
  <c r="N31" i="63"/>
  <c r="V31" i="63" s="1"/>
  <c r="N30" i="63"/>
  <c r="P30" i="63" s="1"/>
  <c r="R30" i="63" s="1"/>
  <c r="N29" i="63"/>
  <c r="N28" i="63"/>
  <c r="V28" i="63" s="1"/>
  <c r="N27" i="63"/>
  <c r="V27" i="63" s="1"/>
  <c r="N26" i="63"/>
  <c r="N25" i="63"/>
  <c r="P25" i="63" s="1"/>
  <c r="R25" i="63" s="1"/>
  <c r="N24" i="63"/>
  <c r="P24" i="63" s="1"/>
  <c r="R24" i="63" s="1"/>
  <c r="N23" i="63"/>
  <c r="N22" i="63"/>
  <c r="R21" i="63"/>
  <c r="M21" i="63"/>
  <c r="I21" i="63"/>
  <c r="H21" i="63"/>
  <c r="G21" i="63"/>
  <c r="V47" i="63"/>
  <c r="T47" i="63"/>
  <c r="Q47" i="63"/>
  <c r="S47" i="63" s="1"/>
  <c r="M47" i="63"/>
  <c r="M46" i="63"/>
  <c r="P45" i="63"/>
  <c r="R45" i="63" s="1"/>
  <c r="M45" i="63"/>
  <c r="V44" i="63"/>
  <c r="M44" i="63"/>
  <c r="P43" i="63"/>
  <c r="R43" i="63" s="1"/>
  <c r="M43" i="63"/>
  <c r="V42" i="63"/>
  <c r="M42" i="63"/>
  <c r="V41" i="63"/>
  <c r="M41" i="63"/>
  <c r="V40" i="63"/>
  <c r="P40" i="63"/>
  <c r="R40" i="63" s="1"/>
  <c r="M40" i="63"/>
  <c r="P39" i="63"/>
  <c r="R39" i="63" s="1"/>
  <c r="M39" i="63"/>
  <c r="P38" i="63"/>
  <c r="R38" i="63" s="1"/>
  <c r="M38" i="63"/>
  <c r="P37" i="63"/>
  <c r="R37" i="63" s="1"/>
  <c r="M37" i="63"/>
  <c r="V36" i="63"/>
  <c r="P36" i="63"/>
  <c r="R36" i="63" s="1"/>
  <c r="M36" i="63"/>
  <c r="P35" i="63"/>
  <c r="R35" i="63" s="1"/>
  <c r="M35" i="63"/>
  <c r="P34" i="63"/>
  <c r="R34" i="63" s="1"/>
  <c r="M34" i="63"/>
  <c r="V33" i="63"/>
  <c r="P33" i="63"/>
  <c r="R33" i="63" s="1"/>
  <c r="M33" i="63"/>
  <c r="V32" i="63"/>
  <c r="P32" i="63"/>
  <c r="R32" i="63" s="1"/>
  <c r="M32" i="63"/>
  <c r="M31" i="63"/>
  <c r="M30" i="63"/>
  <c r="P29" i="63"/>
  <c r="R29" i="63" s="1"/>
  <c r="M29" i="63"/>
  <c r="M28" i="63"/>
  <c r="P27" i="63"/>
  <c r="R27" i="63" s="1"/>
  <c r="M27" i="63"/>
  <c r="V26" i="63"/>
  <c r="T26" i="63"/>
  <c r="Q26" i="63"/>
  <c r="S26" i="63" s="1"/>
  <c r="P26" i="63"/>
  <c r="R26" i="63" s="1"/>
  <c r="M26" i="63"/>
  <c r="V25" i="63"/>
  <c r="M25" i="63"/>
  <c r="V24" i="63"/>
  <c r="T24" i="63"/>
  <c r="Q24" i="63"/>
  <c r="S24" i="63" s="1"/>
  <c r="M24" i="63"/>
  <c r="V23" i="63"/>
  <c r="T23" i="63"/>
  <c r="Q23" i="63"/>
  <c r="S23" i="63" s="1"/>
  <c r="P23" i="63"/>
  <c r="R23" i="63" s="1"/>
  <c r="M23" i="63"/>
  <c r="P22" i="63"/>
  <c r="M22" i="63"/>
  <c r="U80" i="62"/>
  <c r="U79" i="62"/>
  <c r="U78" i="62"/>
  <c r="U77" i="62"/>
  <c r="U76" i="62"/>
  <c r="U75" i="62"/>
  <c r="U74" i="62"/>
  <c r="U73" i="62"/>
  <c r="U72" i="62"/>
  <c r="U71" i="62"/>
  <c r="U70" i="62"/>
  <c r="U69" i="62"/>
  <c r="U68" i="62"/>
  <c r="U67" i="62"/>
  <c r="U66" i="62"/>
  <c r="U65" i="62"/>
  <c r="U64" i="62"/>
  <c r="U63" i="62"/>
  <c r="U62" i="62"/>
  <c r="U61" i="62"/>
  <c r="U60" i="62"/>
  <c r="U59" i="62"/>
  <c r="U58" i="62"/>
  <c r="U57" i="62"/>
  <c r="U56" i="62"/>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80" i="62"/>
  <c r="V80" i="62" s="1"/>
  <c r="N79" i="62"/>
  <c r="N78" i="62"/>
  <c r="V78" i="62" s="1"/>
  <c r="N77" i="62"/>
  <c r="N76" i="62"/>
  <c r="V76" i="62" s="1"/>
  <c r="N75" i="62"/>
  <c r="N74" i="62"/>
  <c r="N73" i="62"/>
  <c r="P73" i="62" s="1"/>
  <c r="R73" i="62" s="1"/>
  <c r="N72" i="62"/>
  <c r="N71" i="62"/>
  <c r="V71" i="62" s="1"/>
  <c r="N70" i="62"/>
  <c r="V70" i="62" s="1"/>
  <c r="N69" i="62"/>
  <c r="P69" i="62" s="1"/>
  <c r="R69" i="62" s="1"/>
  <c r="N68" i="62"/>
  <c r="N67" i="62"/>
  <c r="N66" i="62"/>
  <c r="N65" i="62"/>
  <c r="P65" i="62" s="1"/>
  <c r="R65" i="62" s="1"/>
  <c r="N64" i="62"/>
  <c r="V64" i="62" s="1"/>
  <c r="N63" i="62"/>
  <c r="N62" i="62"/>
  <c r="N61" i="62"/>
  <c r="P61" i="62" s="1"/>
  <c r="R61" i="62" s="1"/>
  <c r="N60" i="62"/>
  <c r="V60" i="62" s="1"/>
  <c r="N59" i="62"/>
  <c r="N58" i="62"/>
  <c r="N57" i="62"/>
  <c r="P57" i="62" s="1"/>
  <c r="R57" i="62" s="1"/>
  <c r="N56" i="62"/>
  <c r="N55" i="62"/>
  <c r="P55" i="62" s="1"/>
  <c r="R55" i="62" s="1"/>
  <c r="N54" i="62"/>
  <c r="N53" i="62"/>
  <c r="N52" i="62"/>
  <c r="N51" i="62"/>
  <c r="N50" i="62"/>
  <c r="N49" i="62"/>
  <c r="N48" i="62"/>
  <c r="V48" i="62" s="1"/>
  <c r="N47" i="62"/>
  <c r="N46" i="62"/>
  <c r="N45" i="62"/>
  <c r="N44" i="62"/>
  <c r="P44" i="62" s="1"/>
  <c r="R44" i="62" s="1"/>
  <c r="N43" i="62"/>
  <c r="V43" i="62" s="1"/>
  <c r="N42" i="62"/>
  <c r="V42" i="62" s="1"/>
  <c r="N41" i="62"/>
  <c r="N40" i="62"/>
  <c r="N39" i="62"/>
  <c r="V39" i="62" s="1"/>
  <c r="N38" i="62"/>
  <c r="V38" i="62" s="1"/>
  <c r="N37" i="62"/>
  <c r="P37" i="62" s="1"/>
  <c r="R37" i="62" s="1"/>
  <c r="N36" i="62"/>
  <c r="N35" i="62"/>
  <c r="N34" i="62"/>
  <c r="N33" i="62"/>
  <c r="N32" i="62"/>
  <c r="N31" i="62"/>
  <c r="V31" i="62" s="1"/>
  <c r="N30" i="62"/>
  <c r="N29" i="62"/>
  <c r="N28" i="62"/>
  <c r="N27" i="62"/>
  <c r="N26" i="62"/>
  <c r="N25" i="62"/>
  <c r="N24" i="62"/>
  <c r="N23" i="62"/>
  <c r="N22" i="62"/>
  <c r="R21" i="62"/>
  <c r="M21" i="62"/>
  <c r="I21" i="62"/>
  <c r="H21" i="62"/>
  <c r="G21" i="62"/>
  <c r="P80" i="62"/>
  <c r="R80" i="62" s="1"/>
  <c r="M80" i="62"/>
  <c r="V79" i="62"/>
  <c r="P79" i="62"/>
  <c r="R79" i="62" s="1"/>
  <c r="M79" i="62"/>
  <c r="P78" i="62"/>
  <c r="R78" i="62" s="1"/>
  <c r="M78" i="62"/>
  <c r="P77" i="62"/>
  <c r="R77" i="62" s="1"/>
  <c r="M77" i="62"/>
  <c r="M76" i="62"/>
  <c r="V75" i="62"/>
  <c r="P75" i="62"/>
  <c r="R75" i="62" s="1"/>
  <c r="M75" i="62"/>
  <c r="M74" i="62"/>
  <c r="V73" i="62"/>
  <c r="T73" i="62"/>
  <c r="Q73" i="62"/>
  <c r="S73" i="62" s="1"/>
  <c r="M73" i="62"/>
  <c r="V72" i="62"/>
  <c r="T72" i="62"/>
  <c r="Q72" i="62"/>
  <c r="S72" i="62" s="1"/>
  <c r="P72" i="62"/>
  <c r="R72" i="62" s="1"/>
  <c r="M72" i="62"/>
  <c r="M71" i="62"/>
  <c r="M70" i="62"/>
  <c r="V69" i="62"/>
  <c r="M69" i="62"/>
  <c r="V68" i="62"/>
  <c r="P68" i="62"/>
  <c r="R68" i="62" s="1"/>
  <c r="M68" i="62"/>
  <c r="V67" i="62"/>
  <c r="P67" i="62"/>
  <c r="R67" i="62" s="1"/>
  <c r="M67" i="62"/>
  <c r="P66" i="62"/>
  <c r="R66" i="62" s="1"/>
  <c r="M66" i="62"/>
  <c r="M65" i="62"/>
  <c r="P64" i="62"/>
  <c r="R64" i="62" s="1"/>
  <c r="M64" i="62"/>
  <c r="V63" i="62"/>
  <c r="P63" i="62"/>
  <c r="R63" i="62" s="1"/>
  <c r="M63" i="62"/>
  <c r="V62" i="62"/>
  <c r="P62" i="62"/>
  <c r="R62" i="62" s="1"/>
  <c r="M62" i="62"/>
  <c r="V61" i="62"/>
  <c r="M61" i="62"/>
  <c r="P60" i="62"/>
  <c r="R60" i="62" s="1"/>
  <c r="M60" i="62"/>
  <c r="P59" i="62"/>
  <c r="R59" i="62" s="1"/>
  <c r="M59" i="62"/>
  <c r="M58" i="62"/>
  <c r="M57" i="62"/>
  <c r="V56" i="62"/>
  <c r="P56" i="62"/>
  <c r="R56" i="62" s="1"/>
  <c r="M56" i="62"/>
  <c r="V55" i="62"/>
  <c r="T55" i="62"/>
  <c r="Q55" i="62"/>
  <c r="S55" i="62" s="1"/>
  <c r="M55" i="62"/>
  <c r="M54" i="62"/>
  <c r="V53" i="62"/>
  <c r="M53" i="62"/>
  <c r="P52" i="62"/>
  <c r="R52" i="62" s="1"/>
  <c r="M52" i="62"/>
  <c r="V51" i="62"/>
  <c r="P51" i="62"/>
  <c r="R51" i="62" s="1"/>
  <c r="M51" i="62"/>
  <c r="V50" i="62"/>
  <c r="P50" i="62"/>
  <c r="R50" i="62" s="1"/>
  <c r="M50" i="62"/>
  <c r="V49" i="62"/>
  <c r="P49" i="62"/>
  <c r="R49" i="62" s="1"/>
  <c r="M49" i="62"/>
  <c r="M48" i="62"/>
  <c r="P47" i="62"/>
  <c r="R47" i="62" s="1"/>
  <c r="M47" i="62"/>
  <c r="V46" i="62"/>
  <c r="P46" i="62"/>
  <c r="R46" i="62" s="1"/>
  <c r="M46" i="62"/>
  <c r="V45" i="62"/>
  <c r="M45" i="62"/>
  <c r="V44" i="62"/>
  <c r="M44" i="62"/>
  <c r="P43" i="62"/>
  <c r="R43" i="62" s="1"/>
  <c r="M43" i="62"/>
  <c r="M42" i="62"/>
  <c r="M41" i="62"/>
  <c r="P40" i="62"/>
  <c r="R40" i="62" s="1"/>
  <c r="M40" i="62"/>
  <c r="M39" i="62"/>
  <c r="M38" i="62"/>
  <c r="V37" i="62"/>
  <c r="M37" i="62"/>
  <c r="V36" i="62"/>
  <c r="P36" i="62"/>
  <c r="R36" i="62" s="1"/>
  <c r="M36" i="62"/>
  <c r="V35" i="62"/>
  <c r="P35" i="62"/>
  <c r="R35" i="62" s="1"/>
  <c r="M35" i="62"/>
  <c r="P34" i="62"/>
  <c r="R34" i="62" s="1"/>
  <c r="M34" i="62"/>
  <c r="V33" i="62"/>
  <c r="P33" i="62"/>
  <c r="R33" i="62" s="1"/>
  <c r="M33" i="62"/>
  <c r="V32" i="62"/>
  <c r="P32" i="62"/>
  <c r="R32" i="62" s="1"/>
  <c r="M32" i="62"/>
  <c r="P31" i="62"/>
  <c r="R31" i="62" s="1"/>
  <c r="M31" i="62"/>
  <c r="V30" i="62"/>
  <c r="P30" i="62"/>
  <c r="R30" i="62" s="1"/>
  <c r="M30" i="62"/>
  <c r="V29" i="62"/>
  <c r="M29" i="62"/>
  <c r="P28" i="62"/>
  <c r="R28" i="62" s="1"/>
  <c r="M28" i="62"/>
  <c r="M27" i="62"/>
  <c r="M26" i="62"/>
  <c r="M25" i="62"/>
  <c r="V24" i="62"/>
  <c r="P24" i="62"/>
  <c r="R24" i="62" s="1"/>
  <c r="M24" i="62"/>
  <c r="M23" i="62"/>
  <c r="M22" i="62"/>
  <c r="X70" i="64" l="1"/>
  <c r="P57" i="64"/>
  <c r="X23" i="64"/>
  <c r="X26" i="64"/>
  <c r="X42" i="64"/>
  <c r="X74" i="64"/>
  <c r="P73" i="64"/>
  <c r="P34" i="65"/>
  <c r="X23" i="65"/>
  <c r="X35" i="65"/>
  <c r="X38" i="65"/>
  <c r="X36" i="65"/>
  <c r="P22" i="65"/>
  <c r="X39" i="65"/>
  <c r="X29" i="64"/>
  <c r="X45" i="64"/>
  <c r="X60" i="64"/>
  <c r="X30" i="64"/>
  <c r="X46" i="64"/>
  <c r="X47" i="64"/>
  <c r="X62" i="64"/>
  <c r="X33" i="64"/>
  <c r="X48" i="64"/>
  <c r="X63" i="64"/>
  <c r="X49" i="64"/>
  <c r="P31" i="64"/>
  <c r="X32" i="64"/>
  <c r="W41" i="64"/>
  <c r="X51" i="64"/>
  <c r="X22" i="64"/>
  <c r="X66" i="64"/>
  <c r="X69" i="64"/>
  <c r="X35" i="64"/>
  <c r="X38" i="64"/>
  <c r="X61" i="64"/>
  <c r="V72" i="64"/>
  <c r="W72" i="64" s="1"/>
  <c r="X39" i="64"/>
  <c r="X68" i="64"/>
  <c r="X52" i="64"/>
  <c r="X53" i="64"/>
  <c r="X36" i="64"/>
  <c r="X37" i="64"/>
  <c r="V30" i="70"/>
  <c r="W30" i="70" s="1"/>
  <c r="X30" i="70" s="1"/>
  <c r="V31" i="70"/>
  <c r="W31" i="70" s="1"/>
  <c r="X31" i="70" s="1"/>
  <c r="V27" i="70"/>
  <c r="W27" i="70" s="1"/>
  <c r="X27" i="70" s="1"/>
  <c r="P24" i="70"/>
  <c r="X25" i="70"/>
  <c r="P28" i="70"/>
  <c r="X24" i="70"/>
  <c r="P22" i="70"/>
  <c r="P25" i="70"/>
  <c r="P31" i="70"/>
  <c r="X22" i="70"/>
  <c r="P26" i="70"/>
  <c r="X29" i="70"/>
  <c r="V30" i="68"/>
  <c r="P22" i="68"/>
  <c r="R22" i="68" s="1"/>
  <c r="V25" i="68"/>
  <c r="P26" i="68"/>
  <c r="R26" i="68" s="1"/>
  <c r="P23" i="68"/>
  <c r="R23" i="68" s="1"/>
  <c r="V27" i="68"/>
  <c r="P28" i="68"/>
  <c r="R28" i="68" s="1"/>
  <c r="V24" i="68"/>
  <c r="V28" i="68"/>
  <c r="P29" i="67"/>
  <c r="R29" i="67" s="1"/>
  <c r="P39" i="67"/>
  <c r="R39" i="67" s="1"/>
  <c r="P41" i="67"/>
  <c r="R41" i="67" s="1"/>
  <c r="P42" i="67"/>
  <c r="R42" i="67" s="1"/>
  <c r="P36" i="67"/>
  <c r="R36" i="67" s="1"/>
  <c r="P23" i="67"/>
  <c r="R23" i="67" s="1"/>
  <c r="P38" i="67"/>
  <c r="R38" i="67" s="1"/>
  <c r="P40" i="67"/>
  <c r="R40" i="67" s="1"/>
  <c r="P37" i="67"/>
  <c r="R37" i="67" s="1"/>
  <c r="P24" i="67"/>
  <c r="R24" i="67" s="1"/>
  <c r="X28" i="65"/>
  <c r="X26" i="65"/>
  <c r="X42" i="65"/>
  <c r="X29" i="65"/>
  <c r="X31" i="65"/>
  <c r="X32" i="65"/>
  <c r="W24" i="65"/>
  <c r="X24" i="65" s="1"/>
  <c r="W25" i="65"/>
  <c r="X25" i="65" s="1"/>
  <c r="P42" i="65"/>
  <c r="X40" i="65"/>
  <c r="P27" i="65"/>
  <c r="X27" i="65"/>
  <c r="P41" i="65"/>
  <c r="P25" i="65"/>
  <c r="V37" i="63"/>
  <c r="V38" i="63"/>
  <c r="V35" i="63"/>
  <c r="V22" i="63"/>
  <c r="P28" i="63"/>
  <c r="R28" i="63" s="1"/>
  <c r="P41" i="63"/>
  <c r="R41" i="63" s="1"/>
  <c r="P31" i="63"/>
  <c r="R31" i="63" s="1"/>
  <c r="V30" i="63"/>
  <c r="P46" i="63"/>
  <c r="R46" i="63" s="1"/>
  <c r="V29" i="63"/>
  <c r="V45" i="63"/>
  <c r="V34" i="63"/>
  <c r="N14" i="63" s="1"/>
  <c r="O14" i="63" s="1"/>
  <c r="X22" i="69"/>
  <c r="P22" i="69"/>
  <c r="P71" i="66"/>
  <c r="R71" i="66" s="1"/>
  <c r="P22" i="66"/>
  <c r="P70" i="66"/>
  <c r="R70" i="66" s="1"/>
  <c r="P38" i="66"/>
  <c r="R38" i="66" s="1"/>
  <c r="P54" i="66"/>
  <c r="R54" i="66" s="1"/>
  <c r="P24" i="66"/>
  <c r="R24" i="66" s="1"/>
  <c r="P40" i="66"/>
  <c r="R40" i="66" s="1"/>
  <c r="P56" i="66"/>
  <c r="R56" i="66" s="1"/>
  <c r="P37" i="66"/>
  <c r="R37" i="66" s="1"/>
  <c r="V27" i="66"/>
  <c r="X24" i="64"/>
  <c r="X40" i="64"/>
  <c r="X25" i="64"/>
  <c r="W56" i="64"/>
  <c r="X56" i="64" s="1"/>
  <c r="W71" i="64"/>
  <c r="X71" i="64" s="1"/>
  <c r="X55" i="64"/>
  <c r="P40" i="64"/>
  <c r="P24" i="64"/>
  <c r="P25" i="64"/>
  <c r="P41" i="64"/>
  <c r="X41" i="64"/>
  <c r="P56" i="64"/>
  <c r="P43" i="64"/>
  <c r="P71" i="64"/>
  <c r="P27" i="64"/>
  <c r="X72" i="64"/>
  <c r="X28" i="64"/>
  <c r="P58" i="64"/>
  <c r="X44" i="64"/>
  <c r="X59" i="64"/>
  <c r="P54" i="62"/>
  <c r="R54" i="62" s="1"/>
  <c r="V22" i="62"/>
  <c r="P22" i="62"/>
  <c r="R22" i="62" s="1"/>
  <c r="P38" i="62"/>
  <c r="R38" i="62" s="1"/>
  <c r="P70" i="62"/>
  <c r="R70" i="62" s="1"/>
  <c r="V28" i="62"/>
  <c r="V47" i="62"/>
  <c r="P39" i="62"/>
  <c r="R39" i="62" s="1"/>
  <c r="V59" i="62"/>
  <c r="V25" i="62"/>
  <c r="V77" i="62"/>
  <c r="V65" i="62"/>
  <c r="P74" i="62"/>
  <c r="R74" i="62" s="1"/>
  <c r="V34" i="62"/>
  <c r="V66" i="62"/>
  <c r="V41" i="62"/>
  <c r="P26" i="62"/>
  <c r="R26" i="62" s="1"/>
  <c r="V26" i="62"/>
  <c r="P42" i="62"/>
  <c r="R42" i="62" s="1"/>
  <c r="P71" i="62"/>
  <c r="R71" i="62" s="1"/>
  <c r="V52" i="62"/>
  <c r="P23" i="62"/>
  <c r="R23" i="62" s="1"/>
  <c r="V54" i="62"/>
  <c r="V57" i="62"/>
  <c r="P58" i="62"/>
  <c r="R58" i="62" s="1"/>
  <c r="V40" i="62"/>
  <c r="V58" i="62"/>
  <c r="V74" i="62"/>
  <c r="V26" i="70"/>
  <c r="W26" i="70" s="1"/>
  <c r="X26" i="70" s="1"/>
  <c r="V23" i="70"/>
  <c r="W23" i="70" s="1"/>
  <c r="X23" i="70" s="1"/>
  <c r="N14" i="68"/>
  <c r="O14" i="68" s="1"/>
  <c r="P31" i="68"/>
  <c r="R31" i="68" s="1"/>
  <c r="P27" i="68"/>
  <c r="R27" i="68" s="1"/>
  <c r="N13" i="68"/>
  <c r="O13" i="68" s="1"/>
  <c r="P28" i="67"/>
  <c r="R28" i="67" s="1"/>
  <c r="R22" i="67"/>
  <c r="R22" i="66"/>
  <c r="V44" i="65"/>
  <c r="W44" i="65" s="1"/>
  <c r="X44" i="65" s="1"/>
  <c r="V37" i="65"/>
  <c r="W37" i="65" s="1"/>
  <c r="X37" i="65" s="1"/>
  <c r="V33" i="65"/>
  <c r="W33" i="65" s="1"/>
  <c r="X33" i="65" s="1"/>
  <c r="V30" i="65"/>
  <c r="W30" i="65" s="1"/>
  <c r="X30" i="65" s="1"/>
  <c r="X43" i="65"/>
  <c r="X41" i="65"/>
  <c r="P32" i="65"/>
  <c r="V75" i="64"/>
  <c r="W75" i="64" s="1"/>
  <c r="X75" i="64" s="1"/>
  <c r="V67" i="64"/>
  <c r="W67" i="64" s="1"/>
  <c r="X67" i="64" s="1"/>
  <c r="V64" i="64"/>
  <c r="W64" i="64" s="1"/>
  <c r="X64" i="64" s="1"/>
  <c r="V54" i="64"/>
  <c r="W54" i="64" s="1"/>
  <c r="X54" i="64" s="1"/>
  <c r="V34" i="64"/>
  <c r="W34" i="64" s="1"/>
  <c r="X65" i="64"/>
  <c r="X58" i="64"/>
  <c r="X50" i="64"/>
  <c r="X43" i="64"/>
  <c r="X34" i="64"/>
  <c r="X27" i="64"/>
  <c r="R22" i="63"/>
  <c r="P76" i="62"/>
  <c r="R76" i="62" s="1"/>
  <c r="P53" i="62"/>
  <c r="R53" i="62" s="1"/>
  <c r="P48" i="62"/>
  <c r="R48" i="62" s="1"/>
  <c r="P45" i="62"/>
  <c r="R45" i="62" s="1"/>
  <c r="P41" i="62"/>
  <c r="R41" i="62" s="1"/>
  <c r="P29" i="62"/>
  <c r="R29" i="62" s="1"/>
  <c r="V27" i="62"/>
  <c r="P27" i="62"/>
  <c r="R27" i="62" s="1"/>
  <c r="P25" i="62"/>
  <c r="R25" i="62" s="1"/>
  <c r="V23" i="62"/>
  <c r="I6" i="25"/>
  <c r="L25" i="70"/>
  <c r="L27" i="68"/>
  <c r="L25" i="68"/>
  <c r="L24" i="68"/>
  <c r="L23" i="68"/>
  <c r="L33" i="67"/>
  <c r="M33" i="67" s="1"/>
  <c r="V33" i="67" s="1"/>
  <c r="L31" i="67"/>
  <c r="M31" i="67" s="1"/>
  <c r="V31" i="67" s="1"/>
  <c r="L30" i="67"/>
  <c r="M30" i="67" s="1"/>
  <c r="V30" i="67" s="1"/>
  <c r="L78" i="66"/>
  <c r="M78" i="66" s="1"/>
  <c r="V78" i="66" s="1"/>
  <c r="L77" i="66"/>
  <c r="M77" i="66" s="1"/>
  <c r="V77" i="66" s="1"/>
  <c r="L76" i="66"/>
  <c r="M76" i="66" s="1"/>
  <c r="V76" i="66" s="1"/>
  <c r="L75" i="66"/>
  <c r="M75" i="66" s="1"/>
  <c r="V75" i="66" s="1"/>
  <c r="L74" i="66"/>
  <c r="M74" i="66" s="1"/>
  <c r="V74" i="66" s="1"/>
  <c r="L67" i="66"/>
  <c r="M67" i="66" s="1"/>
  <c r="V67" i="66" s="1"/>
  <c r="L65" i="66"/>
  <c r="M65" i="66" s="1"/>
  <c r="V65" i="66" s="1"/>
  <c r="L64" i="66"/>
  <c r="M64" i="66" s="1"/>
  <c r="V64" i="66" s="1"/>
  <c r="L63" i="66"/>
  <c r="M63" i="66" s="1"/>
  <c r="V63" i="66" s="1"/>
  <c r="L62" i="66"/>
  <c r="M62" i="66" s="1"/>
  <c r="V62" i="66" s="1"/>
  <c r="L61" i="66"/>
  <c r="M61" i="66" s="1"/>
  <c r="V61" i="66" s="1"/>
  <c r="L60" i="66"/>
  <c r="M60" i="66" s="1"/>
  <c r="V60" i="66" s="1"/>
  <c r="L51" i="66"/>
  <c r="M51" i="66" s="1"/>
  <c r="V51" i="66" s="1"/>
  <c r="L50" i="66"/>
  <c r="M50" i="66" s="1"/>
  <c r="V50" i="66" s="1"/>
  <c r="L49" i="66"/>
  <c r="M49" i="66" s="1"/>
  <c r="V49" i="66" s="1"/>
  <c r="L48" i="66"/>
  <c r="M48" i="66" s="1"/>
  <c r="V48" i="66" s="1"/>
  <c r="L47" i="66"/>
  <c r="M47" i="66" s="1"/>
  <c r="V47" i="66" s="1"/>
  <c r="L46" i="66"/>
  <c r="M46" i="66" s="1"/>
  <c r="V46" i="66" s="1"/>
  <c r="L45" i="66"/>
  <c r="M45" i="66" s="1"/>
  <c r="V45" i="66" s="1"/>
  <c r="L44" i="66"/>
  <c r="M44" i="66" s="1"/>
  <c r="V44" i="66" s="1"/>
  <c r="L43" i="66"/>
  <c r="M43" i="66" s="1"/>
  <c r="V43" i="66" s="1"/>
  <c r="L35" i="66"/>
  <c r="M35" i="66" s="1"/>
  <c r="V35" i="66" s="1"/>
  <c r="L34" i="66"/>
  <c r="M34" i="66" s="1"/>
  <c r="V34" i="66" s="1"/>
  <c r="L33" i="66"/>
  <c r="M33" i="66" s="1"/>
  <c r="V33" i="66" s="1"/>
  <c r="L32" i="66"/>
  <c r="M32" i="66" s="1"/>
  <c r="V32" i="66" s="1"/>
  <c r="L31" i="66"/>
  <c r="M31" i="66" s="1"/>
  <c r="V31" i="66" s="1"/>
  <c r="L30" i="66"/>
  <c r="M30" i="66" s="1"/>
  <c r="V30" i="66" s="1"/>
  <c r="L29" i="66"/>
  <c r="M29" i="66" s="1"/>
  <c r="V29" i="66" s="1"/>
  <c r="L28" i="66"/>
  <c r="M28" i="66" s="1"/>
  <c r="V28" i="66" s="1"/>
  <c r="L27" i="66"/>
  <c r="M27" i="66" s="1"/>
  <c r="L44" i="65"/>
  <c r="M44" i="65" s="1"/>
  <c r="L43" i="65"/>
  <c r="M43" i="65" s="1"/>
  <c r="L42" i="65"/>
  <c r="M42" i="65" s="1"/>
  <c r="L41" i="65"/>
  <c r="M41" i="65" s="1"/>
  <c r="L40" i="65"/>
  <c r="M40" i="65" s="1"/>
  <c r="L39" i="65"/>
  <c r="M39" i="65" s="1"/>
  <c r="L38" i="65"/>
  <c r="M38" i="65" s="1"/>
  <c r="L37" i="65"/>
  <c r="M37" i="65" s="1"/>
  <c r="L36" i="65"/>
  <c r="M36" i="65" s="1"/>
  <c r="L35" i="65"/>
  <c r="M35" i="65" s="1"/>
  <c r="L34" i="65"/>
  <c r="M34" i="65" s="1"/>
  <c r="L33" i="65"/>
  <c r="M33" i="65" s="1"/>
  <c r="L32" i="65"/>
  <c r="M32" i="65" s="1"/>
  <c r="L31" i="65"/>
  <c r="M31" i="65" s="1"/>
  <c r="L30" i="65"/>
  <c r="M30" i="65" s="1"/>
  <c r="L29" i="65"/>
  <c r="M29" i="65" s="1"/>
  <c r="L28" i="65"/>
  <c r="M28" i="65" s="1"/>
  <c r="L27" i="65"/>
  <c r="M27" i="65" s="1"/>
  <c r="L26" i="65"/>
  <c r="M26" i="65" s="1"/>
  <c r="L25" i="65"/>
  <c r="M25" i="65" s="1"/>
  <c r="L24" i="65"/>
  <c r="M24" i="65" s="1"/>
  <c r="L23" i="65"/>
  <c r="M23" i="65" s="1"/>
  <c r="L22" i="65"/>
  <c r="L75" i="64"/>
  <c r="M75" i="64" s="1"/>
  <c r="L74" i="64"/>
  <c r="M74" i="64" s="1"/>
  <c r="L73" i="64"/>
  <c r="M73" i="64" s="1"/>
  <c r="L72" i="64"/>
  <c r="M72" i="64" s="1"/>
  <c r="L71" i="64"/>
  <c r="M71" i="64" s="1"/>
  <c r="L70" i="64"/>
  <c r="M70" i="64" s="1"/>
  <c r="L69" i="64"/>
  <c r="M69" i="64" s="1"/>
  <c r="L68" i="64"/>
  <c r="M68" i="64" s="1"/>
  <c r="L67" i="64"/>
  <c r="M67" i="64" s="1"/>
  <c r="L66" i="64"/>
  <c r="M66" i="64" s="1"/>
  <c r="L65" i="64"/>
  <c r="M65" i="64" s="1"/>
  <c r="L64" i="64"/>
  <c r="M64" i="64" s="1"/>
  <c r="L63" i="64"/>
  <c r="M63" i="64" s="1"/>
  <c r="L62" i="64"/>
  <c r="M62" i="64" s="1"/>
  <c r="L61" i="64"/>
  <c r="M61" i="64" s="1"/>
  <c r="L60" i="64"/>
  <c r="M60" i="64" s="1"/>
  <c r="L59" i="64"/>
  <c r="M59" i="64" s="1"/>
  <c r="L58" i="64"/>
  <c r="M58" i="64" s="1"/>
  <c r="L57" i="64"/>
  <c r="M57" i="64" s="1"/>
  <c r="L56" i="64"/>
  <c r="M56" i="64" s="1"/>
  <c r="L55" i="64"/>
  <c r="M55" i="64" s="1"/>
  <c r="L54" i="64"/>
  <c r="M54" i="64" s="1"/>
  <c r="L53" i="64"/>
  <c r="M53" i="64" s="1"/>
  <c r="L52" i="64"/>
  <c r="M52" i="64" s="1"/>
  <c r="L51" i="64"/>
  <c r="M51" i="64" s="1"/>
  <c r="L50" i="64"/>
  <c r="M50" i="64" s="1"/>
  <c r="L49" i="64"/>
  <c r="M49" i="64" s="1"/>
  <c r="L48" i="64"/>
  <c r="M48" i="64" s="1"/>
  <c r="L47" i="64"/>
  <c r="M47" i="64" s="1"/>
  <c r="L46" i="64"/>
  <c r="M46" i="64" s="1"/>
  <c r="L45" i="64"/>
  <c r="M45" i="64" s="1"/>
  <c r="L44" i="64"/>
  <c r="M44" i="64" s="1"/>
  <c r="L43" i="64"/>
  <c r="M43" i="64" s="1"/>
  <c r="L42" i="64"/>
  <c r="M42" i="64" s="1"/>
  <c r="L41" i="64"/>
  <c r="M41" i="64" s="1"/>
  <c r="L40" i="64"/>
  <c r="M40" i="64" s="1"/>
  <c r="L39" i="64"/>
  <c r="M39" i="64" s="1"/>
  <c r="L38" i="64"/>
  <c r="M38" i="64" s="1"/>
  <c r="L37" i="64"/>
  <c r="M37" i="64" s="1"/>
  <c r="L36" i="64"/>
  <c r="M36" i="64" s="1"/>
  <c r="L35" i="64"/>
  <c r="M35" i="64" s="1"/>
  <c r="L34" i="64"/>
  <c r="L33" i="64"/>
  <c r="M33" i="64" s="1"/>
  <c r="L32" i="64"/>
  <c r="M32" i="64" s="1"/>
  <c r="L31" i="64"/>
  <c r="M31" i="64" s="1"/>
  <c r="L30" i="64"/>
  <c r="M30" i="64" s="1"/>
  <c r="L29" i="64"/>
  <c r="M29" i="64" s="1"/>
  <c r="L28" i="64"/>
  <c r="M28" i="64" s="1"/>
  <c r="L27" i="64"/>
  <c r="M27" i="64" s="1"/>
  <c r="L26" i="64"/>
  <c r="M26" i="64" s="1"/>
  <c r="L25" i="64"/>
  <c r="M25" i="64" s="1"/>
  <c r="L24" i="64"/>
  <c r="M24" i="64" s="1"/>
  <c r="L23" i="64"/>
  <c r="M23" i="64" s="1"/>
  <c r="L22" i="64"/>
  <c r="L47" i="63"/>
  <c r="L46" i="63"/>
  <c r="L45" i="63"/>
  <c r="L44" i="63"/>
  <c r="L43" i="63"/>
  <c r="L40" i="63"/>
  <c r="L39" i="63"/>
  <c r="L35" i="63"/>
  <c r="L33" i="63"/>
  <c r="L32" i="63"/>
  <c r="L31" i="63"/>
  <c r="L30" i="63"/>
  <c r="L29" i="63"/>
  <c r="L28" i="63"/>
  <c r="L27" i="63"/>
  <c r="L26" i="63"/>
  <c r="L25" i="63"/>
  <c r="L24" i="63"/>
  <c r="L23" i="63"/>
  <c r="L80" i="62"/>
  <c r="L77" i="62"/>
  <c r="L75" i="62"/>
  <c r="L74" i="62"/>
  <c r="L73" i="62"/>
  <c r="L72" i="62"/>
  <c r="L71" i="62"/>
  <c r="L70" i="62"/>
  <c r="L67" i="62"/>
  <c r="L66" i="62"/>
  <c r="L65" i="62"/>
  <c r="L61" i="62"/>
  <c r="L60" i="62"/>
  <c r="L59" i="62"/>
  <c r="L58" i="62"/>
  <c r="L57" i="62"/>
  <c r="L55" i="62"/>
  <c r="L54" i="62"/>
  <c r="L52" i="62"/>
  <c r="L51" i="62"/>
  <c r="L50" i="62"/>
  <c r="L49" i="62"/>
  <c r="L45" i="62"/>
  <c r="L44" i="62"/>
  <c r="L43" i="62"/>
  <c r="L42" i="62"/>
  <c r="L41" i="62"/>
  <c r="L39" i="62"/>
  <c r="L38" i="62"/>
  <c r="L36" i="62"/>
  <c r="L35" i="62"/>
  <c r="L34" i="62"/>
  <c r="L33" i="62"/>
  <c r="L29" i="62"/>
  <c r="L28" i="62"/>
  <c r="L27" i="62"/>
  <c r="L26" i="62"/>
  <c r="L25" i="62"/>
  <c r="L23" i="62"/>
  <c r="L22" i="62"/>
  <c r="K22" i="46"/>
  <c r="K21" i="46"/>
  <c r="K20" i="46"/>
  <c r="K19" i="46"/>
  <c r="K18" i="46"/>
  <c r="K17" i="46"/>
  <c r="K16" i="46"/>
  <c r="K15" i="46"/>
  <c r="K14" i="46"/>
  <c r="K13" i="46"/>
  <c r="K12" i="46"/>
  <c r="K11" i="46"/>
  <c r="K10" i="46"/>
  <c r="J31" i="46"/>
  <c r="L30" i="70" s="1"/>
  <c r="J22" i="46"/>
  <c r="J21" i="46"/>
  <c r="I31" i="46"/>
  <c r="L22" i="69" s="1"/>
  <c r="M22" i="69" s="1"/>
  <c r="I22" i="46"/>
  <c r="I21" i="46"/>
  <c r="H31" i="46"/>
  <c r="L22" i="68" s="1"/>
  <c r="H22" i="46"/>
  <c r="H21" i="46"/>
  <c r="H20" i="46"/>
  <c r="H19" i="46"/>
  <c r="H18" i="46"/>
  <c r="H17" i="46"/>
  <c r="H16" i="46"/>
  <c r="H15" i="46"/>
  <c r="H14" i="46"/>
  <c r="H13" i="46"/>
  <c r="H12" i="46"/>
  <c r="H11" i="46"/>
  <c r="H10" i="46"/>
  <c r="G31" i="46"/>
  <c r="L29" i="67" s="1"/>
  <c r="M29" i="67" s="1"/>
  <c r="V29" i="67" s="1"/>
  <c r="G22" i="46"/>
  <c r="G21" i="46"/>
  <c r="G20" i="46"/>
  <c r="G19" i="46"/>
  <c r="G18" i="46"/>
  <c r="G17" i="46"/>
  <c r="G16" i="46"/>
  <c r="G15" i="46"/>
  <c r="G14" i="46"/>
  <c r="G13" i="46"/>
  <c r="G12" i="46"/>
  <c r="G11" i="46"/>
  <c r="G10" i="46"/>
  <c r="F31" i="46"/>
  <c r="L73" i="66" s="1"/>
  <c r="M73" i="66" s="1"/>
  <c r="V73" i="66" s="1"/>
  <c r="F22" i="46"/>
  <c r="F21" i="46"/>
  <c r="F20" i="46"/>
  <c r="F19" i="46"/>
  <c r="F18" i="46"/>
  <c r="F17" i="46"/>
  <c r="F16" i="46"/>
  <c r="F15" i="46"/>
  <c r="F14" i="46"/>
  <c r="F13" i="46"/>
  <c r="F12" i="46"/>
  <c r="F11" i="46"/>
  <c r="F10" i="46"/>
  <c r="E22" i="46"/>
  <c r="E21" i="46"/>
  <c r="D22" i="46"/>
  <c r="D21" i="46"/>
  <c r="C22" i="46"/>
  <c r="C21" i="46"/>
  <c r="C20" i="46"/>
  <c r="C19" i="46"/>
  <c r="C18" i="46"/>
  <c r="C17" i="46"/>
  <c r="C16" i="46"/>
  <c r="C15" i="46"/>
  <c r="C14" i="46"/>
  <c r="L42" i="63" s="1"/>
  <c r="C13" i="46"/>
  <c r="C12" i="46"/>
  <c r="C11" i="46"/>
  <c r="C10" i="46"/>
  <c r="B22" i="46"/>
  <c r="B21" i="46"/>
  <c r="B20" i="46"/>
  <c r="B19" i="46"/>
  <c r="L47" i="62" s="1"/>
  <c r="B18" i="46"/>
  <c r="B17" i="46"/>
  <c r="L79" i="62" s="1"/>
  <c r="B16" i="46"/>
  <c r="L48" i="62" s="1"/>
  <c r="B15" i="46"/>
  <c r="B14" i="46"/>
  <c r="L69" i="62" s="1"/>
  <c r="B13" i="46"/>
  <c r="B12" i="46"/>
  <c r="B11" i="46"/>
  <c r="B10" i="46"/>
  <c r="I9" i="65" l="1"/>
  <c r="M22" i="65"/>
  <c r="M21" i="65" s="1"/>
  <c r="M21" i="69"/>
  <c r="M34" i="64"/>
  <c r="I9" i="64"/>
  <c r="M22" i="64"/>
  <c r="M21" i="64" s="1"/>
  <c r="N14" i="70"/>
  <c r="O14" i="70" s="1"/>
  <c r="P21" i="70"/>
  <c r="P21" i="67"/>
  <c r="R21" i="67" s="1"/>
  <c r="N14" i="65"/>
  <c r="O14" i="65" s="1"/>
  <c r="P21" i="65"/>
  <c r="P21" i="63"/>
  <c r="N13" i="63"/>
  <c r="N14" i="69"/>
  <c r="L8" i="69" s="1"/>
  <c r="P21" i="69"/>
  <c r="P21" i="66"/>
  <c r="P21" i="64"/>
  <c r="P21" i="68"/>
  <c r="M11" i="68"/>
  <c r="M12" i="68"/>
  <c r="N14" i="64"/>
  <c r="L10" i="64" s="1"/>
  <c r="M11" i="63"/>
  <c r="O13" i="63"/>
  <c r="M12" i="63"/>
  <c r="P21" i="62"/>
  <c r="N14" i="62"/>
  <c r="O14" i="62" s="1"/>
  <c r="N13" i="62"/>
  <c r="L24" i="70"/>
  <c r="L26" i="70"/>
  <c r="L23" i="70"/>
  <c r="L27" i="70"/>
  <c r="L28" i="70"/>
  <c r="L22" i="70"/>
  <c r="L29" i="70"/>
  <c r="L31" i="70"/>
  <c r="I4" i="69"/>
  <c r="I4" i="70"/>
  <c r="J4" i="70"/>
  <c r="I5" i="70"/>
  <c r="J5" i="70"/>
  <c r="L26" i="68"/>
  <c r="L28" i="68"/>
  <c r="L30" i="68"/>
  <c r="L29" i="68"/>
  <c r="L31" i="68"/>
  <c r="I4" i="68"/>
  <c r="L32" i="67"/>
  <c r="M32" i="67" s="1"/>
  <c r="V32" i="67" s="1"/>
  <c r="L34" i="67"/>
  <c r="M34" i="67" s="1"/>
  <c r="V34" i="67" s="1"/>
  <c r="L36" i="67"/>
  <c r="M36" i="67" s="1"/>
  <c r="V36" i="67" s="1"/>
  <c r="J7" i="70"/>
  <c r="L37" i="67"/>
  <c r="M37" i="67" s="1"/>
  <c r="V37" i="67" s="1"/>
  <c r="L35" i="67"/>
  <c r="M35" i="67" s="1"/>
  <c r="V35" i="67" s="1"/>
  <c r="I8" i="70"/>
  <c r="L39" i="67"/>
  <c r="M39" i="67" s="1"/>
  <c r="V39" i="67" s="1"/>
  <c r="L23" i="67"/>
  <c r="L24" i="67"/>
  <c r="L40" i="67"/>
  <c r="M40" i="67" s="1"/>
  <c r="V40" i="67" s="1"/>
  <c r="L25" i="67"/>
  <c r="L41" i="67"/>
  <c r="M41" i="67" s="1"/>
  <c r="V41" i="67" s="1"/>
  <c r="L26" i="67"/>
  <c r="L42" i="67"/>
  <c r="M42" i="67" s="1"/>
  <c r="V42" i="67" s="1"/>
  <c r="L38" i="67"/>
  <c r="M38" i="67" s="1"/>
  <c r="V38" i="67" s="1"/>
  <c r="L27" i="67"/>
  <c r="M27" i="67" s="1"/>
  <c r="V27" i="67" s="1"/>
  <c r="L22" i="67"/>
  <c r="L28" i="67"/>
  <c r="M28" i="67" s="1"/>
  <c r="V28" i="67" s="1"/>
  <c r="L43" i="67"/>
  <c r="M43" i="67" s="1"/>
  <c r="V43" i="67" s="1"/>
  <c r="L66" i="66"/>
  <c r="M66" i="66" s="1"/>
  <c r="V66" i="66" s="1"/>
  <c r="L36" i="66"/>
  <c r="M36" i="66" s="1"/>
  <c r="V36" i="66" s="1"/>
  <c r="L52" i="66"/>
  <c r="M52" i="66" s="1"/>
  <c r="V52" i="66" s="1"/>
  <c r="L68" i="66"/>
  <c r="M68" i="66" s="1"/>
  <c r="V68" i="66" s="1"/>
  <c r="L37" i="66"/>
  <c r="M37" i="66" s="1"/>
  <c r="V37" i="66" s="1"/>
  <c r="L53" i="66"/>
  <c r="M53" i="66" s="1"/>
  <c r="V53" i="66" s="1"/>
  <c r="L69" i="66"/>
  <c r="M69" i="66" s="1"/>
  <c r="V69" i="66" s="1"/>
  <c r="L22" i="66"/>
  <c r="L38" i="66"/>
  <c r="M38" i="66" s="1"/>
  <c r="V38" i="66" s="1"/>
  <c r="L54" i="66"/>
  <c r="M54" i="66" s="1"/>
  <c r="V54" i="66" s="1"/>
  <c r="L70" i="66"/>
  <c r="M70" i="66" s="1"/>
  <c r="V70" i="66" s="1"/>
  <c r="L23" i="66"/>
  <c r="L39" i="66"/>
  <c r="M39" i="66" s="1"/>
  <c r="V39" i="66" s="1"/>
  <c r="L55" i="66"/>
  <c r="M55" i="66" s="1"/>
  <c r="V55" i="66" s="1"/>
  <c r="L71" i="66"/>
  <c r="M71" i="66" s="1"/>
  <c r="V71" i="66" s="1"/>
  <c r="L24" i="66"/>
  <c r="L40" i="66"/>
  <c r="M40" i="66" s="1"/>
  <c r="V40" i="66" s="1"/>
  <c r="L56" i="66"/>
  <c r="M56" i="66" s="1"/>
  <c r="V56" i="66" s="1"/>
  <c r="L25" i="66"/>
  <c r="M25" i="66" s="1"/>
  <c r="V25" i="66" s="1"/>
  <c r="L41" i="66"/>
  <c r="M41" i="66" s="1"/>
  <c r="V41" i="66" s="1"/>
  <c r="L57" i="66"/>
  <c r="M57" i="66" s="1"/>
  <c r="V57" i="66" s="1"/>
  <c r="L26" i="66"/>
  <c r="M26" i="66" s="1"/>
  <c r="V26" i="66" s="1"/>
  <c r="L42" i="66"/>
  <c r="M42" i="66" s="1"/>
  <c r="V42" i="66" s="1"/>
  <c r="L58" i="66"/>
  <c r="M58" i="66" s="1"/>
  <c r="V58" i="66" s="1"/>
  <c r="L72" i="66"/>
  <c r="M72" i="66" s="1"/>
  <c r="V72" i="66" s="1"/>
  <c r="L59" i="66"/>
  <c r="M59" i="66" s="1"/>
  <c r="V59" i="66" s="1"/>
  <c r="J8" i="68"/>
  <c r="L34" i="63"/>
  <c r="L36" i="63"/>
  <c r="L37" i="63"/>
  <c r="I8" i="65"/>
  <c r="L22" i="63"/>
  <c r="L38" i="63"/>
  <c r="L41" i="63"/>
  <c r="I6" i="63"/>
  <c r="J8" i="63"/>
  <c r="J8" i="64"/>
  <c r="J8" i="65"/>
  <c r="J9" i="64"/>
  <c r="J9" i="65"/>
  <c r="J4" i="68"/>
  <c r="J4" i="69"/>
  <c r="L24" i="62"/>
  <c r="L40" i="62"/>
  <c r="L56" i="62"/>
  <c r="I5" i="68"/>
  <c r="J10" i="64"/>
  <c r="J5" i="68"/>
  <c r="I10" i="64"/>
  <c r="I4" i="64"/>
  <c r="I6" i="68"/>
  <c r="J10" i="63"/>
  <c r="J4" i="64"/>
  <c r="J6" i="68"/>
  <c r="L76" i="62"/>
  <c r="I4" i="62"/>
  <c r="I4" i="65"/>
  <c r="I7" i="68"/>
  <c r="I5" i="64"/>
  <c r="J4" i="63"/>
  <c r="J5" i="64"/>
  <c r="J4" i="65"/>
  <c r="J7" i="68"/>
  <c r="L30" i="62"/>
  <c r="J5" i="62" s="1"/>
  <c r="L46" i="62"/>
  <c r="L62" i="62"/>
  <c r="L78" i="62"/>
  <c r="I4" i="63"/>
  <c r="I5" i="63"/>
  <c r="I6" i="64"/>
  <c r="I5" i="65"/>
  <c r="I8" i="68"/>
  <c r="L31" i="62"/>
  <c r="L63" i="62"/>
  <c r="I10" i="63"/>
  <c r="J5" i="63"/>
  <c r="J6" i="64"/>
  <c r="J5" i="65"/>
  <c r="L32" i="62"/>
  <c r="L64" i="62"/>
  <c r="I6" i="65"/>
  <c r="J6" i="65"/>
  <c r="I7" i="64"/>
  <c r="I7" i="65"/>
  <c r="I7" i="63"/>
  <c r="J7" i="63"/>
  <c r="J7" i="64"/>
  <c r="J7" i="65"/>
  <c r="L68" i="62"/>
  <c r="J6" i="63"/>
  <c r="L37" i="62"/>
  <c r="L53" i="62"/>
  <c r="B13" i="70"/>
  <c r="B4" i="70"/>
  <c r="N2" i="70"/>
  <c r="B13" i="69"/>
  <c r="B4" i="69"/>
  <c r="N2" i="69"/>
  <c r="B13" i="68"/>
  <c r="B4" i="68"/>
  <c r="N2" i="68"/>
  <c r="B13" i="67"/>
  <c r="B4" i="67"/>
  <c r="N2" i="67"/>
  <c r="B13" i="66"/>
  <c r="B4" i="66"/>
  <c r="N2" i="66"/>
  <c r="B13" i="65"/>
  <c r="B4" i="65"/>
  <c r="N2" i="65"/>
  <c r="B13" i="64"/>
  <c r="B4" i="64"/>
  <c r="N2" i="64"/>
  <c r="B13" i="63"/>
  <c r="B4" i="63"/>
  <c r="N2" i="63"/>
  <c r="B13" i="62"/>
  <c r="B4" i="62"/>
  <c r="N2" i="62"/>
  <c r="I8" i="64" l="1"/>
  <c r="M26" i="67"/>
  <c r="V26" i="67" s="1"/>
  <c r="M25" i="67"/>
  <c r="V25" i="67" s="1"/>
  <c r="M24" i="67"/>
  <c r="V24" i="67" s="1"/>
  <c r="M23" i="67"/>
  <c r="V23" i="67" s="1"/>
  <c r="M22" i="67"/>
  <c r="J7" i="67" s="1"/>
  <c r="M23" i="66"/>
  <c r="V23" i="66" s="1"/>
  <c r="M22" i="66"/>
  <c r="I7" i="66"/>
  <c r="M24" i="66"/>
  <c r="V24" i="66" s="1"/>
  <c r="L11" i="70"/>
  <c r="L8" i="70"/>
  <c r="L10" i="70"/>
  <c r="L9" i="70"/>
  <c r="L8" i="65"/>
  <c r="L11" i="65"/>
  <c r="L10" i="65"/>
  <c r="L9" i="65"/>
  <c r="L11" i="69"/>
  <c r="O14" i="69"/>
  <c r="L9" i="69"/>
  <c r="L10" i="69"/>
  <c r="O14" i="64"/>
  <c r="L11" i="64"/>
  <c r="L8" i="64"/>
  <c r="L9" i="64"/>
  <c r="M11" i="62"/>
  <c r="M12" i="62"/>
  <c r="O13" i="62"/>
  <c r="J8" i="70"/>
  <c r="I6" i="70"/>
  <c r="I7" i="70"/>
  <c r="J6" i="70"/>
  <c r="I5" i="66"/>
  <c r="J11" i="66"/>
  <c r="I6" i="66"/>
  <c r="J7" i="66"/>
  <c r="J10" i="66"/>
  <c r="J8" i="66"/>
  <c r="J4" i="66"/>
  <c r="I4" i="66"/>
  <c r="J6" i="66"/>
  <c r="J5" i="66"/>
  <c r="I10" i="66"/>
  <c r="I9" i="63"/>
  <c r="J9" i="63"/>
  <c r="I8" i="63"/>
  <c r="I11" i="62"/>
  <c r="J9" i="62"/>
  <c r="J4" i="62"/>
  <c r="J11" i="62"/>
  <c r="I5" i="62"/>
  <c r="J8" i="62"/>
  <c r="J7" i="62"/>
  <c r="I6" i="62"/>
  <c r="J10" i="62"/>
  <c r="I9" i="62"/>
  <c r="I7" i="62"/>
  <c r="I10" i="62"/>
  <c r="J6" i="62"/>
  <c r="I8" i="62"/>
  <c r="D17" i="29"/>
  <c r="D17" i="38"/>
  <c r="D18" i="38"/>
  <c r="F18" i="38" s="1"/>
  <c r="D19" i="38"/>
  <c r="D20" i="38"/>
  <c r="F20" i="38" s="1"/>
  <c r="D21" i="38"/>
  <c r="D22" i="38"/>
  <c r="F22" i="38"/>
  <c r="D76" i="29"/>
  <c r="I4" i="67" l="1"/>
  <c r="I6" i="67"/>
  <c r="I9" i="67"/>
  <c r="M21" i="67"/>
  <c r="V22" i="67"/>
  <c r="I7" i="67"/>
  <c r="J9" i="67"/>
  <c r="J8" i="67"/>
  <c r="I5" i="67"/>
  <c r="J5" i="67"/>
  <c r="J4" i="67"/>
  <c r="I8" i="67"/>
  <c r="J6" i="67"/>
  <c r="M21" i="66"/>
  <c r="V22" i="66"/>
  <c r="I11" i="66"/>
  <c r="I9" i="66"/>
  <c r="J9" i="66"/>
  <c r="I8" i="66"/>
  <c r="H18" i="38"/>
  <c r="H20" i="38"/>
  <c r="N14" i="67" l="1"/>
  <c r="O14" i="67" s="1"/>
  <c r="N13" i="67"/>
  <c r="N14" i="66"/>
  <c r="O14" i="66" s="1"/>
  <c r="N13" i="66"/>
  <c r="D76" i="38"/>
  <c r="D23" i="38" s="1"/>
  <c r="D24" i="38" s="1"/>
  <c r="F24" i="38" s="1"/>
  <c r="F57" i="29"/>
  <c r="F42" i="29"/>
  <c r="F34" i="29"/>
  <c r="F59" i="29" s="1"/>
  <c r="F57" i="38"/>
  <c r="F42" i="38"/>
  <c r="F34" i="38"/>
  <c r="F59" i="38" s="1"/>
  <c r="E2" i="25"/>
  <c r="M11" i="67" l="1"/>
  <c r="M12" i="67"/>
  <c r="O13" i="67"/>
  <c r="M12" i="66"/>
  <c r="M11" i="66"/>
  <c r="O13" i="66"/>
  <c r="F28" i="29"/>
  <c r="D23" i="29"/>
  <c r="D21" i="29"/>
  <c r="D19" i="29"/>
  <c r="F28" i="38"/>
  <c r="B2" i="26" l="1"/>
  <c r="B2" i="25"/>
  <c r="D2" i="26" l="1"/>
  <c r="C2" i="38" l="1"/>
  <c r="C2" i="29"/>
  <c r="C2" i="23" l="1"/>
  <c r="C2" i="3" l="1"/>
  <c r="E1" i="46" l="1"/>
  <c r="E1" i="29"/>
  <c r="E1" i="38"/>
  <c r="I2" i="1"/>
  <c r="B2" i="46" l="1"/>
  <c r="K68" i="29" l="1"/>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23"/>
  <c r="B3" i="3"/>
  <c r="D20" i="29" l="1"/>
  <c r="F20" i="29" s="1"/>
  <c r="D26" i="29"/>
  <c r="F26" i="29" s="1"/>
  <c r="H34" i="38"/>
  <c r="K34" i="38" s="1"/>
  <c r="F18" i="29"/>
  <c r="D24" i="29"/>
  <c r="F24" i="29" s="1"/>
  <c r="D22" i="29"/>
  <c r="H42" i="38"/>
  <c r="K42" i="38" s="1"/>
  <c r="H57" i="38"/>
  <c r="H22" i="38"/>
  <c r="H34" i="29"/>
  <c r="K34" i="29" s="1"/>
  <c r="H42" i="29"/>
  <c r="K42" i="29" s="1"/>
  <c r="H57" i="29"/>
  <c r="H26" i="38"/>
  <c r="H61" i="29"/>
  <c r="K61" i="29"/>
  <c r="H61" i="38"/>
  <c r="K61" i="38"/>
  <c r="O31" i="70" l="1"/>
  <c r="O30" i="70"/>
  <c r="O29" i="70"/>
  <c r="O28" i="70"/>
  <c r="O27" i="70"/>
  <c r="O26" i="70"/>
  <c r="O25" i="70"/>
  <c r="O24" i="70"/>
  <c r="O23" i="70"/>
  <c r="O22" i="70"/>
  <c r="O22" i="69"/>
  <c r="O31" i="68"/>
  <c r="O30" i="68"/>
  <c r="O29" i="68"/>
  <c r="O28" i="68"/>
  <c r="O27" i="68"/>
  <c r="O26" i="68"/>
  <c r="O25" i="68"/>
  <c r="O24" i="68"/>
  <c r="O23" i="68"/>
  <c r="O22" i="68"/>
  <c r="O43" i="67"/>
  <c r="O42" i="67"/>
  <c r="O41" i="67"/>
  <c r="O40" i="67"/>
  <c r="O39" i="67"/>
  <c r="O38" i="67"/>
  <c r="O37" i="67"/>
  <c r="O36" i="67"/>
  <c r="O35" i="67"/>
  <c r="O34" i="67"/>
  <c r="O33" i="67"/>
  <c r="O32" i="67"/>
  <c r="O31" i="67"/>
  <c r="O30" i="67"/>
  <c r="O29" i="67"/>
  <c r="O28" i="67"/>
  <c r="O27" i="67"/>
  <c r="O26" i="67"/>
  <c r="O25" i="67"/>
  <c r="O24" i="67"/>
  <c r="O23" i="67"/>
  <c r="O22" i="67"/>
  <c r="O78" i="66"/>
  <c r="O77" i="66"/>
  <c r="O76" i="66"/>
  <c r="O75" i="66"/>
  <c r="O74" i="66"/>
  <c r="O73" i="66"/>
  <c r="O72" i="66"/>
  <c r="O71" i="66"/>
  <c r="O70" i="66"/>
  <c r="O69" i="66"/>
  <c r="O68" i="66"/>
  <c r="O67" i="66"/>
  <c r="O66" i="66"/>
  <c r="O65" i="66"/>
  <c r="O64" i="66"/>
  <c r="O63" i="66"/>
  <c r="O62" i="66"/>
  <c r="O61" i="66"/>
  <c r="O60" i="66"/>
  <c r="O59" i="66"/>
  <c r="O58" i="66"/>
  <c r="O57" i="66"/>
  <c r="O56" i="66"/>
  <c r="O55" i="66"/>
  <c r="O54" i="66"/>
  <c r="O53" i="66"/>
  <c r="O52" i="66"/>
  <c r="O51" i="66"/>
  <c r="O50" i="66"/>
  <c r="O49" i="66"/>
  <c r="O48" i="66"/>
  <c r="O47" i="66"/>
  <c r="O46" i="66"/>
  <c r="O45" i="66"/>
  <c r="O44" i="66"/>
  <c r="O43" i="66"/>
  <c r="O42" i="66"/>
  <c r="O41" i="66"/>
  <c r="O40" i="66"/>
  <c r="O39" i="66"/>
  <c r="O38" i="66"/>
  <c r="O37" i="66"/>
  <c r="O36" i="66"/>
  <c r="O35" i="66"/>
  <c r="O34" i="66"/>
  <c r="O33" i="66"/>
  <c r="O32" i="66"/>
  <c r="O31" i="66"/>
  <c r="O30" i="66"/>
  <c r="O29" i="66"/>
  <c r="O28" i="66"/>
  <c r="O27" i="66"/>
  <c r="O26" i="66"/>
  <c r="O25" i="66"/>
  <c r="O24" i="66"/>
  <c r="O23" i="66"/>
  <c r="O22" i="66"/>
  <c r="O44" i="65"/>
  <c r="O43" i="65"/>
  <c r="O42" i="65"/>
  <c r="O41" i="65"/>
  <c r="O40" i="65"/>
  <c r="O39" i="65"/>
  <c r="O38" i="65"/>
  <c r="O37" i="65"/>
  <c r="O36" i="65"/>
  <c r="O35" i="65"/>
  <c r="O34" i="65"/>
  <c r="O33" i="65"/>
  <c r="O32" i="65"/>
  <c r="O31" i="65"/>
  <c r="O30" i="65"/>
  <c r="O29" i="65"/>
  <c r="O28" i="65"/>
  <c r="O27" i="65"/>
  <c r="O26" i="65"/>
  <c r="O25" i="65"/>
  <c r="O24" i="65"/>
  <c r="O23" i="65"/>
  <c r="O22" i="65"/>
  <c r="O75" i="64"/>
  <c r="O74" i="64"/>
  <c r="O73" i="64"/>
  <c r="O72" i="64"/>
  <c r="O71" i="64"/>
  <c r="O70" i="64"/>
  <c r="O69" i="64"/>
  <c r="O68" i="64"/>
  <c r="O67" i="64"/>
  <c r="O66" i="64"/>
  <c r="O65" i="64"/>
  <c r="O64" i="64"/>
  <c r="O63" i="64"/>
  <c r="O62" i="64"/>
  <c r="O61" i="64"/>
  <c r="O60" i="64"/>
  <c r="O59" i="64"/>
  <c r="O58" i="64"/>
  <c r="O57" i="64"/>
  <c r="O56" i="64"/>
  <c r="O55" i="64"/>
  <c r="O54" i="64"/>
  <c r="O53" i="64"/>
  <c r="O52" i="64"/>
  <c r="O51" i="64"/>
  <c r="O50" i="64"/>
  <c r="O49" i="64"/>
  <c r="O48" i="64"/>
  <c r="O47" i="64"/>
  <c r="O46" i="64"/>
  <c r="O45" i="64"/>
  <c r="O44" i="64"/>
  <c r="O43" i="64"/>
  <c r="O42" i="64"/>
  <c r="O41" i="64"/>
  <c r="O40" i="64"/>
  <c r="O39" i="64"/>
  <c r="O38" i="64"/>
  <c r="O37" i="64"/>
  <c r="O36" i="64"/>
  <c r="O35" i="64"/>
  <c r="O34" i="64"/>
  <c r="O33" i="64"/>
  <c r="O32" i="64"/>
  <c r="O31" i="64"/>
  <c r="O30" i="64"/>
  <c r="O29" i="64"/>
  <c r="O28" i="64"/>
  <c r="O27" i="64"/>
  <c r="O26" i="64"/>
  <c r="O25" i="64"/>
  <c r="O24" i="64"/>
  <c r="O23" i="64"/>
  <c r="O22" i="64"/>
  <c r="O47" i="63"/>
  <c r="O46" i="63"/>
  <c r="O45" i="63"/>
  <c r="O44" i="63"/>
  <c r="O43" i="63"/>
  <c r="O42" i="63"/>
  <c r="O41" i="63"/>
  <c r="O40" i="63"/>
  <c r="O39" i="63"/>
  <c r="O38" i="63"/>
  <c r="O37" i="63"/>
  <c r="O36" i="63"/>
  <c r="O35" i="63"/>
  <c r="O34" i="63"/>
  <c r="O33" i="63"/>
  <c r="O32" i="63"/>
  <c r="O31" i="63"/>
  <c r="O30" i="63"/>
  <c r="O29" i="63"/>
  <c r="O28" i="63"/>
  <c r="O27" i="63"/>
  <c r="O26" i="63"/>
  <c r="O25" i="63"/>
  <c r="O24" i="63"/>
  <c r="O23" i="63"/>
  <c r="O22" i="63"/>
  <c r="O80" i="62"/>
  <c r="O79" i="62"/>
  <c r="O78" i="62"/>
  <c r="O77" i="62"/>
  <c r="O76" i="62"/>
  <c r="O75" i="62"/>
  <c r="O74" i="62"/>
  <c r="O73" i="62"/>
  <c r="O72" i="62"/>
  <c r="O71" i="62"/>
  <c r="O70" i="62"/>
  <c r="O69" i="62"/>
  <c r="O68" i="62"/>
  <c r="O67" i="62"/>
  <c r="O66" i="62"/>
  <c r="O65" i="62"/>
  <c r="O64" i="62"/>
  <c r="O63" i="62"/>
  <c r="O62" i="62"/>
  <c r="O61" i="62"/>
  <c r="O60" i="62"/>
  <c r="O59" i="62"/>
  <c r="O58" i="62"/>
  <c r="O57" i="62"/>
  <c r="O56" i="62"/>
  <c r="O55" i="62"/>
  <c r="O54" i="62"/>
  <c r="O53" i="62"/>
  <c r="O52" i="62"/>
  <c r="O51" i="62"/>
  <c r="O50" i="62"/>
  <c r="O49" i="62"/>
  <c r="O48" i="62"/>
  <c r="O47" i="62"/>
  <c r="O46" i="62"/>
  <c r="O45" i="62"/>
  <c r="O44" i="62"/>
  <c r="O43" i="62"/>
  <c r="O42" i="62"/>
  <c r="O41" i="62"/>
  <c r="O40" i="62"/>
  <c r="O39" i="62"/>
  <c r="O38" i="62"/>
  <c r="O37" i="62"/>
  <c r="O36" i="62"/>
  <c r="O35" i="62"/>
  <c r="O34" i="62"/>
  <c r="O33" i="62"/>
  <c r="O32" i="62"/>
  <c r="O31" i="62"/>
  <c r="O30" i="62"/>
  <c r="O29" i="62"/>
  <c r="O28" i="62"/>
  <c r="O27" i="62"/>
  <c r="O26" i="62"/>
  <c r="O25" i="62"/>
  <c r="O24" i="62"/>
  <c r="O23" i="62"/>
  <c r="O22"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22" i="70" l="1"/>
  <c r="Q22" i="70"/>
  <c r="R22" i="70" s="1"/>
  <c r="S24" i="70"/>
  <c r="Q24" i="70"/>
  <c r="R24" i="70" s="1"/>
  <c r="S25" i="70"/>
  <c r="Q25" i="70"/>
  <c r="R25" i="70" s="1"/>
  <c r="S26" i="70"/>
  <c r="Q26" i="70"/>
  <c r="R26" i="70" s="1"/>
  <c r="S27" i="70"/>
  <c r="Q27" i="70"/>
  <c r="R27" i="70" s="1"/>
  <c r="S28" i="70"/>
  <c r="Q28" i="70"/>
  <c r="R28" i="70" s="1"/>
  <c r="S29" i="70"/>
  <c r="Q29" i="70"/>
  <c r="R29" i="70" s="1"/>
  <c r="Q30" i="70"/>
  <c r="R30" i="70" s="1"/>
  <c r="S30" i="70"/>
  <c r="S31" i="70"/>
  <c r="Q31" i="70"/>
  <c r="R31" i="70" s="1"/>
  <c r="S23" i="70"/>
  <c r="Q23" i="70"/>
  <c r="Q22" i="68"/>
  <c r="S22" i="68" s="1"/>
  <c r="T22" i="68"/>
  <c r="Q24" i="68"/>
  <c r="S24" i="68" s="1"/>
  <c r="T24" i="68"/>
  <c r="Q25" i="68"/>
  <c r="S25" i="68" s="1"/>
  <c r="T25" i="68"/>
  <c r="Q26" i="68"/>
  <c r="S26" i="68" s="1"/>
  <c r="T26" i="68"/>
  <c r="Q27" i="68"/>
  <c r="S27" i="68" s="1"/>
  <c r="T27" i="68"/>
  <c r="Q28" i="68"/>
  <c r="S28" i="68" s="1"/>
  <c r="T28" i="68"/>
  <c r="Q29" i="68"/>
  <c r="S29" i="68" s="1"/>
  <c r="T29" i="68"/>
  <c r="Q30" i="68"/>
  <c r="S30" i="68" s="1"/>
  <c r="T30" i="68"/>
  <c r="Q31" i="68"/>
  <c r="S31" i="68" s="1"/>
  <c r="T31" i="68"/>
  <c r="Q23" i="68"/>
  <c r="S23" i="68" s="1"/>
  <c r="T23" i="68"/>
  <c r="Q41" i="67"/>
  <c r="S41" i="67" s="1"/>
  <c r="T41" i="67"/>
  <c r="Q42" i="67"/>
  <c r="S42" i="67" s="1"/>
  <c r="T42" i="67"/>
  <c r="Q31" i="67"/>
  <c r="S31" i="67" s="1"/>
  <c r="T31" i="67"/>
  <c r="Q34" i="67"/>
  <c r="S34" i="67" s="1"/>
  <c r="T34" i="67"/>
  <c r="Q38" i="67"/>
  <c r="S38" i="67" s="1"/>
  <c r="T38" i="67"/>
  <c r="Q27" i="67"/>
  <c r="S27" i="67" s="1"/>
  <c r="T27" i="67"/>
  <c r="Q22" i="67"/>
  <c r="S22" i="67" s="1"/>
  <c r="T22" i="67"/>
  <c r="Q28" i="67"/>
  <c r="S28" i="67" s="1"/>
  <c r="T28" i="67"/>
  <c r="Q29" i="67"/>
  <c r="S29" i="67" s="1"/>
  <c r="T29" i="67"/>
  <c r="Q30" i="67"/>
  <c r="S30" i="67" s="1"/>
  <c r="T30" i="67"/>
  <c r="Q32" i="67"/>
  <c r="S32" i="67" s="1"/>
  <c r="T32" i="67"/>
  <c r="Q33" i="67"/>
  <c r="S33" i="67" s="1"/>
  <c r="T33" i="67"/>
  <c r="Q35" i="67"/>
  <c r="S35" i="67" s="1"/>
  <c r="T35" i="67"/>
  <c r="Q36" i="67"/>
  <c r="S36" i="67" s="1"/>
  <c r="T36" i="67"/>
  <c r="Q37" i="67"/>
  <c r="S37" i="67" s="1"/>
  <c r="T37" i="67"/>
  <c r="Q39" i="67"/>
  <c r="S39" i="67" s="1"/>
  <c r="T39" i="67"/>
  <c r="Q40" i="67"/>
  <c r="S40" i="67" s="1"/>
  <c r="T40" i="67"/>
  <c r="Q25" i="67"/>
  <c r="S25" i="67" s="1"/>
  <c r="T25" i="67"/>
  <c r="Q26" i="67"/>
  <c r="S26" i="67" s="1"/>
  <c r="T26" i="67"/>
  <c r="Q23" i="67"/>
  <c r="S23" i="67" s="1"/>
  <c r="T23" i="67"/>
  <c r="Q24" i="67"/>
  <c r="S24" i="67" s="1"/>
  <c r="T24" i="67"/>
  <c r="Q43" i="67"/>
  <c r="S43" i="67" s="1"/>
  <c r="T43" i="67"/>
  <c r="S43" i="65"/>
  <c r="Q43" i="65"/>
  <c r="R43" i="65" s="1"/>
  <c r="S44" i="65"/>
  <c r="Q44" i="65"/>
  <c r="R44" i="65" s="1"/>
  <c r="S36" i="65"/>
  <c r="Q36" i="65"/>
  <c r="R36" i="65" s="1"/>
  <c r="Q40" i="65"/>
  <c r="R40" i="65" s="1"/>
  <c r="S40" i="65"/>
  <c r="S29" i="65"/>
  <c r="Q29" i="65"/>
  <c r="R29" i="65" s="1"/>
  <c r="S33" i="65"/>
  <c r="Q33" i="65"/>
  <c r="R33" i="65" s="1"/>
  <c r="S24" i="65"/>
  <c r="Q24" i="65"/>
  <c r="R24" i="65" s="1"/>
  <c r="S25" i="65"/>
  <c r="Q25" i="65"/>
  <c r="R25" i="65" s="1"/>
  <c r="S23" i="65"/>
  <c r="Q23" i="65"/>
  <c r="R23" i="65" s="1"/>
  <c r="S22" i="65"/>
  <c r="Q22" i="65"/>
  <c r="R22" i="65" s="1"/>
  <c r="S35" i="65"/>
  <c r="Q35" i="65"/>
  <c r="R35" i="65" s="1"/>
  <c r="S38" i="65"/>
  <c r="Q38" i="65"/>
  <c r="R38" i="65" s="1"/>
  <c r="S41" i="65"/>
  <c r="Q41" i="65"/>
  <c r="R41" i="65" s="1"/>
  <c r="S39" i="65"/>
  <c r="Q39" i="65"/>
  <c r="R39" i="65" s="1"/>
  <c r="S42" i="65"/>
  <c r="Q42" i="65"/>
  <c r="R42" i="65" s="1"/>
  <c r="S28" i="65"/>
  <c r="Q28" i="65"/>
  <c r="R28" i="65" s="1"/>
  <c r="S30" i="65"/>
  <c r="Q30" i="65"/>
  <c r="R30" i="65" s="1"/>
  <c r="S27" i="65"/>
  <c r="Q27" i="65"/>
  <c r="R27" i="65" s="1"/>
  <c r="S31" i="65"/>
  <c r="Q31" i="65"/>
  <c r="R31" i="65" s="1"/>
  <c r="S32" i="65"/>
  <c r="Q32" i="65"/>
  <c r="R32" i="65" s="1"/>
  <c r="S37" i="65"/>
  <c r="Q37" i="65"/>
  <c r="R37" i="65" s="1"/>
  <c r="S34" i="65"/>
  <c r="Q34" i="65"/>
  <c r="R34" i="65" s="1"/>
  <c r="Q26" i="65"/>
  <c r="S26" i="65"/>
  <c r="Q44" i="63"/>
  <c r="S44" i="63" s="1"/>
  <c r="T44" i="63"/>
  <c r="Q45" i="63"/>
  <c r="S45" i="63" s="1"/>
  <c r="T45" i="63"/>
  <c r="Q41" i="63"/>
  <c r="S41" i="63" s="1"/>
  <c r="T41" i="63"/>
  <c r="Q34" i="63"/>
  <c r="S34" i="63" s="1"/>
  <c r="T34" i="63"/>
  <c r="Q30" i="63"/>
  <c r="S30" i="63" s="1"/>
  <c r="T30" i="63"/>
  <c r="Q37" i="63"/>
  <c r="S37" i="63" s="1"/>
  <c r="T37" i="63"/>
  <c r="Q46" i="63"/>
  <c r="S46" i="63" s="1"/>
  <c r="T46" i="63"/>
  <c r="Q22" i="63"/>
  <c r="S22" i="63" s="1"/>
  <c r="T22" i="63"/>
  <c r="Q42" i="63"/>
  <c r="S42" i="63" s="1"/>
  <c r="T42" i="63"/>
  <c r="Q28" i="63"/>
  <c r="S28" i="63" s="1"/>
  <c r="T28" i="63"/>
  <c r="Q43" i="63"/>
  <c r="S43" i="63" s="1"/>
  <c r="T43" i="63"/>
  <c r="Q31" i="63"/>
  <c r="S31" i="63" s="1"/>
  <c r="T31" i="63"/>
  <c r="Q36" i="63"/>
  <c r="S36" i="63" s="1"/>
  <c r="T36" i="63"/>
  <c r="Q32" i="63"/>
  <c r="S32" i="63" s="1"/>
  <c r="T32" i="63"/>
  <c r="Q35" i="63"/>
  <c r="S35" i="63" s="1"/>
  <c r="T35" i="63"/>
  <c r="Q38" i="63"/>
  <c r="S38" i="63" s="1"/>
  <c r="T38" i="63"/>
  <c r="Q29" i="63"/>
  <c r="S29" i="63" s="1"/>
  <c r="T29" i="63"/>
  <c r="Q33" i="63"/>
  <c r="S33" i="63" s="1"/>
  <c r="T33" i="63"/>
  <c r="Q39" i="63"/>
  <c r="S39" i="63" s="1"/>
  <c r="T39" i="63"/>
  <c r="Q40" i="63"/>
  <c r="S40" i="63" s="1"/>
  <c r="T40" i="63"/>
  <c r="Q25" i="63"/>
  <c r="S25" i="63" s="1"/>
  <c r="T25" i="63"/>
  <c r="Q27" i="63"/>
  <c r="S27" i="63" s="1"/>
  <c r="T27" i="63"/>
  <c r="S22" i="69"/>
  <c r="S14" i="69" s="1"/>
  <c r="Q22" i="69"/>
  <c r="Q71" i="66"/>
  <c r="S71" i="66" s="1"/>
  <c r="T71" i="66"/>
  <c r="Q72" i="66"/>
  <c r="S72" i="66" s="1"/>
  <c r="T72" i="66"/>
  <c r="Q59" i="66"/>
  <c r="S59" i="66" s="1"/>
  <c r="T59" i="66"/>
  <c r="Q27" i="66"/>
  <c r="S27" i="66" s="1"/>
  <c r="T27" i="66"/>
  <c r="Q34" i="66"/>
  <c r="S34" i="66" s="1"/>
  <c r="T34" i="66"/>
  <c r="Q66" i="66"/>
  <c r="S66" i="66" s="1"/>
  <c r="T66" i="66"/>
  <c r="Q56" i="66"/>
  <c r="S56" i="66" s="1"/>
  <c r="T56" i="66"/>
  <c r="Q57" i="66"/>
  <c r="S57" i="66" s="1"/>
  <c r="T57" i="66"/>
  <c r="Q26" i="66"/>
  <c r="S26" i="66" s="1"/>
  <c r="T26" i="66"/>
  <c r="Q73" i="66"/>
  <c r="S73" i="66" s="1"/>
  <c r="T73" i="66"/>
  <c r="Q60" i="66"/>
  <c r="S60" i="66" s="1"/>
  <c r="T60" i="66"/>
  <c r="Q74" i="66"/>
  <c r="S74" i="66" s="1"/>
  <c r="T74" i="66"/>
  <c r="Q46" i="66"/>
  <c r="S46" i="66" s="1"/>
  <c r="T46" i="66"/>
  <c r="Q76" i="66"/>
  <c r="S76" i="66" s="1"/>
  <c r="T76" i="66"/>
  <c r="Q77" i="66"/>
  <c r="S77" i="66" s="1"/>
  <c r="T77" i="66"/>
  <c r="Q32" i="66"/>
  <c r="S32" i="66" s="1"/>
  <c r="T32" i="66"/>
  <c r="Q33" i="66"/>
  <c r="S33" i="66" s="1"/>
  <c r="T33" i="66"/>
  <c r="Q65" i="66"/>
  <c r="S65" i="66" s="1"/>
  <c r="T65" i="66"/>
  <c r="Q35" i="66"/>
  <c r="S35" i="66" s="1"/>
  <c r="T35" i="66"/>
  <c r="Q51" i="66"/>
  <c r="S51" i="66" s="1"/>
  <c r="T51" i="66"/>
  <c r="Q52" i="66"/>
  <c r="S52" i="66" s="1"/>
  <c r="T52" i="66"/>
  <c r="Q53" i="66"/>
  <c r="S53" i="66" s="1"/>
  <c r="T53" i="66"/>
  <c r="Q22" i="66"/>
  <c r="S22" i="66" s="1"/>
  <c r="T22" i="66"/>
  <c r="Q38" i="66"/>
  <c r="S38" i="66" s="1"/>
  <c r="T38" i="66"/>
  <c r="Q54" i="66"/>
  <c r="S54" i="66" s="1"/>
  <c r="T54" i="66"/>
  <c r="Q25" i="66"/>
  <c r="S25" i="66" s="1"/>
  <c r="T25" i="66"/>
  <c r="Q41" i="66"/>
  <c r="S41" i="66" s="1"/>
  <c r="T41" i="66"/>
  <c r="Q28" i="66"/>
  <c r="S28" i="66" s="1"/>
  <c r="T28" i="66"/>
  <c r="Q42" i="66"/>
  <c r="S42" i="66" s="1"/>
  <c r="T42" i="66"/>
  <c r="Q58" i="66"/>
  <c r="S58" i="66" s="1"/>
  <c r="T58" i="66"/>
  <c r="Q43" i="66"/>
  <c r="S43" i="66" s="1"/>
  <c r="T43" i="66"/>
  <c r="Q29" i="66"/>
  <c r="S29" i="66" s="1"/>
  <c r="T29" i="66"/>
  <c r="Q45" i="66"/>
  <c r="S45" i="66" s="1"/>
  <c r="T45" i="66"/>
  <c r="Q61" i="66"/>
  <c r="S61" i="66" s="1"/>
  <c r="T61" i="66"/>
  <c r="Q30" i="66"/>
  <c r="S30" i="66" s="1"/>
  <c r="T30" i="66"/>
  <c r="Q62" i="66"/>
  <c r="S62" i="66" s="1"/>
  <c r="T62" i="66"/>
  <c r="Q63" i="66"/>
  <c r="S63" i="66" s="1"/>
  <c r="T63" i="66"/>
  <c r="Q64" i="66"/>
  <c r="S64" i="66" s="1"/>
  <c r="T64" i="66"/>
  <c r="Q44" i="66"/>
  <c r="S44" i="66" s="1"/>
  <c r="T44" i="66"/>
  <c r="Q78" i="66"/>
  <c r="S78" i="66" s="1"/>
  <c r="T78" i="66"/>
  <c r="Q70" i="66"/>
  <c r="S70" i="66" s="1"/>
  <c r="T70" i="66"/>
  <c r="Q55" i="66"/>
  <c r="S55" i="66" s="1"/>
  <c r="T55" i="66"/>
  <c r="Q75" i="66"/>
  <c r="S75" i="66" s="1"/>
  <c r="T75" i="66"/>
  <c r="Q67" i="66"/>
  <c r="S67" i="66" s="1"/>
  <c r="T67" i="66"/>
  <c r="Q36" i="66"/>
  <c r="S36" i="66" s="1"/>
  <c r="T36" i="66"/>
  <c r="Q68" i="66"/>
  <c r="S68" i="66" s="1"/>
  <c r="T68" i="66"/>
  <c r="Q37" i="66"/>
  <c r="S37" i="66" s="1"/>
  <c r="T37" i="66"/>
  <c r="Q69" i="66"/>
  <c r="S69" i="66" s="1"/>
  <c r="T69" i="66"/>
  <c r="Q23" i="66"/>
  <c r="S23" i="66" s="1"/>
  <c r="T23" i="66"/>
  <c r="Q24" i="66"/>
  <c r="S24" i="66" s="1"/>
  <c r="T24" i="66"/>
  <c r="Q31" i="66"/>
  <c r="S31" i="66" s="1"/>
  <c r="T31" i="66"/>
  <c r="Q47" i="66"/>
  <c r="S47" i="66" s="1"/>
  <c r="T47" i="66"/>
  <c r="Q39" i="66"/>
  <c r="S39" i="66" s="1"/>
  <c r="T39" i="66"/>
  <c r="Q40" i="66"/>
  <c r="S40" i="66" s="1"/>
  <c r="T40" i="66"/>
  <c r="Q48" i="66"/>
  <c r="S48" i="66" s="1"/>
  <c r="T48" i="66"/>
  <c r="Q49" i="66"/>
  <c r="S49" i="66" s="1"/>
  <c r="T49" i="66"/>
  <c r="Q50" i="66"/>
  <c r="S50" i="66" s="1"/>
  <c r="T50" i="66"/>
  <c r="S69" i="64"/>
  <c r="Q69" i="64"/>
  <c r="R69" i="64" s="1"/>
  <c r="Q65" i="64"/>
  <c r="R65" i="64" s="1"/>
  <c r="S65" i="64"/>
  <c r="S56" i="64"/>
  <c r="Q56" i="64"/>
  <c r="R56" i="64" s="1"/>
  <c r="S70" i="64"/>
  <c r="Q70" i="64"/>
  <c r="R70" i="64" s="1"/>
  <c r="Q34" i="64"/>
  <c r="R34" i="64" s="1"/>
  <c r="S34" i="64"/>
  <c r="S27" i="64"/>
  <c r="Q27" i="64"/>
  <c r="R27" i="64" s="1"/>
  <c r="S58" i="64"/>
  <c r="Q58" i="64"/>
  <c r="R58" i="64" s="1"/>
  <c r="Q55" i="64"/>
  <c r="R55" i="64" s="1"/>
  <c r="S55" i="64"/>
  <c r="S75" i="64"/>
  <c r="Q75" i="64"/>
  <c r="R75" i="64" s="1"/>
  <c r="S35" i="64"/>
  <c r="Q35" i="64"/>
  <c r="R35" i="64" s="1"/>
  <c r="S51" i="64"/>
  <c r="Q51" i="64"/>
  <c r="R51" i="64" s="1"/>
  <c r="S32" i="64"/>
  <c r="Q32" i="64"/>
  <c r="R32" i="64" s="1"/>
  <c r="S52" i="64"/>
  <c r="Q52" i="64"/>
  <c r="R52" i="64" s="1"/>
  <c r="S64" i="64"/>
  <c r="Q64" i="64"/>
  <c r="R64" i="64" s="1"/>
  <c r="S54" i="64"/>
  <c r="Q54" i="64"/>
  <c r="R54" i="64" s="1"/>
  <c r="S41" i="64"/>
  <c r="Q41" i="64"/>
  <c r="R41" i="64" s="1"/>
  <c r="S22" i="64"/>
  <c r="Q22" i="64"/>
  <c r="R22" i="64" s="1"/>
  <c r="S25" i="64"/>
  <c r="Q25" i="64"/>
  <c r="R25" i="64" s="1"/>
  <c r="S26" i="64"/>
  <c r="Q26" i="64"/>
  <c r="R26" i="64" s="1"/>
  <c r="S33" i="64"/>
  <c r="Q33" i="64"/>
  <c r="R33" i="64" s="1"/>
  <c r="S71" i="64"/>
  <c r="Q71" i="64"/>
  <c r="R71" i="64" s="1"/>
  <c r="S53" i="64"/>
  <c r="Q53" i="64"/>
  <c r="R53" i="64" s="1"/>
  <c r="Q59" i="64"/>
  <c r="R59" i="64" s="1"/>
  <c r="S59" i="64"/>
  <c r="S72" i="64"/>
  <c r="Q72" i="64"/>
  <c r="R72" i="64" s="1"/>
  <c r="S38" i="64"/>
  <c r="Q38" i="64"/>
  <c r="R38" i="64" s="1"/>
  <c r="S46" i="64"/>
  <c r="Q46" i="64"/>
  <c r="R46" i="64" s="1"/>
  <c r="S74" i="64"/>
  <c r="Q74" i="64"/>
  <c r="R74" i="64" s="1"/>
  <c r="S63" i="64"/>
  <c r="Q63" i="64"/>
  <c r="R63" i="64" s="1"/>
  <c r="S42" i="64"/>
  <c r="Q42" i="64"/>
  <c r="R42" i="64" s="1"/>
  <c r="S43" i="64"/>
  <c r="Q43" i="64"/>
  <c r="R43" i="64" s="1"/>
  <c r="Q28" i="64"/>
  <c r="R28" i="64" s="1"/>
  <c r="S28" i="64"/>
  <c r="S44" i="64"/>
  <c r="Q44" i="64"/>
  <c r="R44" i="64" s="1"/>
  <c r="Q62" i="64"/>
  <c r="R62" i="64" s="1"/>
  <c r="S62" i="64"/>
  <c r="S57" i="64"/>
  <c r="Q57" i="64"/>
  <c r="R57" i="64" s="1"/>
  <c r="S29" i="64"/>
  <c r="Q29" i="64"/>
  <c r="R29" i="64" s="1"/>
  <c r="S45" i="64"/>
  <c r="Q45" i="64"/>
  <c r="R45" i="64" s="1"/>
  <c r="S60" i="64"/>
  <c r="Q60" i="64"/>
  <c r="R60" i="64" s="1"/>
  <c r="S30" i="64"/>
  <c r="Q30" i="64"/>
  <c r="R30" i="64" s="1"/>
  <c r="S61" i="64"/>
  <c r="Q61" i="64"/>
  <c r="R61" i="64" s="1"/>
  <c r="Q36" i="64"/>
  <c r="R36" i="64" s="1"/>
  <c r="S36" i="64"/>
  <c r="S67" i="64"/>
  <c r="Q67" i="64"/>
  <c r="R67" i="64" s="1"/>
  <c r="S37" i="64"/>
  <c r="Q37" i="64"/>
  <c r="R37" i="64" s="1"/>
  <c r="S24" i="64"/>
  <c r="Q24" i="64"/>
  <c r="R24" i="64" s="1"/>
  <c r="S68" i="64"/>
  <c r="Q68" i="64"/>
  <c r="R68" i="64" s="1"/>
  <c r="S66" i="64"/>
  <c r="Q66" i="64"/>
  <c r="R66" i="64" s="1"/>
  <c r="S73" i="64"/>
  <c r="Q73" i="64"/>
  <c r="R73" i="64" s="1"/>
  <c r="S23" i="64"/>
  <c r="Q23" i="64"/>
  <c r="R23" i="64" s="1"/>
  <c r="S31" i="64"/>
  <c r="Q31" i="64"/>
  <c r="R31" i="64" s="1"/>
  <c r="S47" i="64"/>
  <c r="Q47" i="64"/>
  <c r="R47" i="64" s="1"/>
  <c r="S40" i="64"/>
  <c r="Q40" i="64"/>
  <c r="R40" i="64" s="1"/>
  <c r="S39" i="64"/>
  <c r="Q39" i="64"/>
  <c r="R39" i="64" s="1"/>
  <c r="S48" i="64"/>
  <c r="Q48" i="64"/>
  <c r="S49" i="64"/>
  <c r="Q49" i="64"/>
  <c r="R49" i="64" s="1"/>
  <c r="S50" i="64"/>
  <c r="Q50" i="64"/>
  <c r="R50" i="64" s="1"/>
  <c r="Q71" i="62"/>
  <c r="S71" i="62" s="1"/>
  <c r="T71" i="62"/>
  <c r="Q57" i="62"/>
  <c r="S57" i="62" s="1"/>
  <c r="T57" i="62"/>
  <c r="Q27" i="62"/>
  <c r="S27" i="62" s="1"/>
  <c r="T27" i="62"/>
  <c r="Q56" i="62"/>
  <c r="S56" i="62" s="1"/>
  <c r="T56" i="62"/>
  <c r="Q74" i="62"/>
  <c r="S74" i="62" s="1"/>
  <c r="T74" i="62"/>
  <c r="Q34" i="62"/>
  <c r="S34" i="62" s="1"/>
  <c r="T34" i="62"/>
  <c r="Q66" i="62"/>
  <c r="S66" i="62" s="1"/>
  <c r="T66" i="62"/>
  <c r="Q59" i="62"/>
  <c r="S59" i="62" s="1"/>
  <c r="T59" i="62"/>
  <c r="Q53" i="62"/>
  <c r="S53" i="62" s="1"/>
  <c r="T53" i="62"/>
  <c r="Q22" i="62"/>
  <c r="S22" i="62" s="1"/>
  <c r="T22" i="62"/>
  <c r="Q25" i="62"/>
  <c r="S25" i="62" s="1"/>
  <c r="T25" i="62"/>
  <c r="Q41" i="62"/>
  <c r="S41" i="62" s="1"/>
  <c r="T41" i="62"/>
  <c r="Q54" i="62"/>
  <c r="S54" i="62" s="1"/>
  <c r="T54" i="62"/>
  <c r="Q26" i="62"/>
  <c r="S26" i="62" s="1"/>
  <c r="T26" i="62"/>
  <c r="Q75" i="62"/>
  <c r="S75" i="62" s="1"/>
  <c r="T75" i="62"/>
  <c r="Q76" i="62"/>
  <c r="S76" i="62" s="1"/>
  <c r="T76" i="62"/>
  <c r="Q52" i="62"/>
  <c r="S52" i="62" s="1"/>
  <c r="T52" i="62"/>
  <c r="Q46" i="62"/>
  <c r="S46" i="62" s="1"/>
  <c r="T46" i="62"/>
  <c r="Q78" i="62"/>
  <c r="S78" i="62" s="1"/>
  <c r="T78" i="62"/>
  <c r="Q79" i="62"/>
  <c r="S79" i="62" s="1"/>
  <c r="T79" i="62"/>
  <c r="Q32" i="62"/>
  <c r="S32" i="62" s="1"/>
  <c r="T32" i="62"/>
  <c r="Q33" i="62"/>
  <c r="S33" i="62" s="1"/>
  <c r="T33" i="62"/>
  <c r="Q65" i="62"/>
  <c r="S65" i="62" s="1"/>
  <c r="T65" i="62"/>
  <c r="Q38" i="62"/>
  <c r="S38" i="62" s="1"/>
  <c r="T38" i="62"/>
  <c r="Q60" i="62"/>
  <c r="S60" i="62" s="1"/>
  <c r="T60" i="62"/>
  <c r="Q35" i="62"/>
  <c r="S35" i="62" s="1"/>
  <c r="T35" i="62"/>
  <c r="Q51" i="62"/>
  <c r="S51" i="62" s="1"/>
  <c r="T51" i="62"/>
  <c r="Q42" i="62"/>
  <c r="S42" i="62" s="1"/>
  <c r="T42" i="62"/>
  <c r="Q58" i="62"/>
  <c r="S58" i="62" s="1"/>
  <c r="T58" i="62"/>
  <c r="Q44" i="62"/>
  <c r="S44" i="62" s="1"/>
  <c r="T44" i="62"/>
  <c r="Q61" i="62"/>
  <c r="S61" i="62" s="1"/>
  <c r="T61" i="62"/>
  <c r="Q45" i="62"/>
  <c r="S45" i="62" s="1"/>
  <c r="T45" i="62"/>
  <c r="Q30" i="62"/>
  <c r="S30" i="62" s="1"/>
  <c r="T30" i="62"/>
  <c r="Q62" i="62"/>
  <c r="S62" i="62" s="1"/>
  <c r="T62" i="62"/>
  <c r="Q63" i="62"/>
  <c r="S63" i="62" s="1"/>
  <c r="T63" i="62"/>
  <c r="Q64" i="62"/>
  <c r="S64" i="62" s="1"/>
  <c r="T64" i="62"/>
  <c r="Q28" i="62"/>
  <c r="S28" i="62" s="1"/>
  <c r="T28" i="62"/>
  <c r="Q43" i="62"/>
  <c r="S43" i="62" s="1"/>
  <c r="T43" i="62"/>
  <c r="Q29" i="62"/>
  <c r="S29" i="62" s="1"/>
  <c r="T29" i="62"/>
  <c r="Q70" i="62"/>
  <c r="S70" i="62" s="1"/>
  <c r="T70" i="62"/>
  <c r="Q80" i="62"/>
  <c r="S80" i="62" s="1"/>
  <c r="T80" i="62"/>
  <c r="Q36" i="62"/>
  <c r="S36" i="62" s="1"/>
  <c r="T36" i="62"/>
  <c r="Q24" i="62"/>
  <c r="S24" i="62" s="1"/>
  <c r="T24" i="62"/>
  <c r="Q37" i="62"/>
  <c r="S37" i="62" s="1"/>
  <c r="T37" i="62"/>
  <c r="Q69" i="62"/>
  <c r="S69" i="62" s="1"/>
  <c r="T69" i="62"/>
  <c r="Q77" i="62"/>
  <c r="S77" i="62" s="1"/>
  <c r="T77" i="62"/>
  <c r="Q68" i="62"/>
  <c r="S68" i="62" s="1"/>
  <c r="T68" i="62"/>
  <c r="Q23" i="62"/>
  <c r="S23" i="62" s="1"/>
  <c r="T23" i="62"/>
  <c r="Q67" i="62"/>
  <c r="S67" i="62" s="1"/>
  <c r="T67" i="62"/>
  <c r="Q40" i="62"/>
  <c r="S40" i="62" s="1"/>
  <c r="T40" i="62"/>
  <c r="Q39" i="62"/>
  <c r="S39" i="62" s="1"/>
  <c r="T39" i="62"/>
  <c r="Q31" i="62"/>
  <c r="S31" i="62" s="1"/>
  <c r="T31" i="62"/>
  <c r="Q47" i="62"/>
  <c r="S47" i="62" s="1"/>
  <c r="T47" i="62"/>
  <c r="Q48" i="62"/>
  <c r="S48" i="62" s="1"/>
  <c r="T48" i="62"/>
  <c r="Q49" i="62"/>
  <c r="S49" i="62" s="1"/>
  <c r="T49" i="62"/>
  <c r="Q50" i="62"/>
  <c r="S50" i="62" s="1"/>
  <c r="T50" i="62"/>
  <c r="F29" i="29"/>
  <c r="K62" i="38"/>
  <c r="S14" i="70" l="1"/>
  <c r="R23" i="70"/>
  <c r="Q21" i="70"/>
  <c r="T14" i="68"/>
  <c r="Q21" i="68"/>
  <c r="T14" i="67"/>
  <c r="Q21" i="67"/>
  <c r="S14" i="65"/>
  <c r="R26" i="65"/>
  <c r="Q21" i="65"/>
  <c r="T14" i="63"/>
  <c r="Q21" i="63"/>
  <c r="R22" i="69"/>
  <c r="Q21" i="69"/>
  <c r="Q21" i="66"/>
  <c r="T14" i="66"/>
  <c r="R48" i="64"/>
  <c r="Q21" i="64"/>
  <c r="S14" i="64"/>
  <c r="Q21" i="62"/>
  <c r="T14" i="62"/>
  <c r="K23" i="1" l="1"/>
  <c r="S21" i="68"/>
  <c r="K22" i="1"/>
  <c r="S21" i="67"/>
  <c r="F22" i="1"/>
  <c r="M22" i="1" s="1"/>
  <c r="N22" i="1" s="1"/>
  <c r="S21" i="63"/>
  <c r="K21" i="1"/>
  <c r="S21" i="66"/>
  <c r="F21" i="1"/>
  <c r="S21" i="62"/>
  <c r="C7" i="23"/>
  <c r="E7" i="23" s="1"/>
  <c r="D7" i="23" s="1"/>
  <c r="C8" i="23"/>
  <c r="E8" i="23" s="1"/>
  <c r="D8" i="23" s="1"/>
  <c r="R21" i="70"/>
  <c r="L23" i="1"/>
  <c r="F8" i="23"/>
  <c r="H8" i="23" s="1"/>
  <c r="G8" i="23" s="1"/>
  <c r="R21" i="65"/>
  <c r="G22" i="1"/>
  <c r="D7" i="3"/>
  <c r="C6" i="23"/>
  <c r="E6" i="23" s="1"/>
  <c r="D6" i="23" s="1"/>
  <c r="C7" i="3"/>
  <c r="H7" i="3" s="1"/>
  <c r="J7" i="3" s="1"/>
  <c r="I7" i="3" s="1"/>
  <c r="C6" i="3"/>
  <c r="R21" i="69"/>
  <c r="L21" i="1"/>
  <c r="F6" i="23"/>
  <c r="H6" i="23" s="1"/>
  <c r="G6" i="23" s="1"/>
  <c r="R21" i="64"/>
  <c r="D6" i="3"/>
  <c r="G21" i="1"/>
  <c r="M23" i="1" l="1"/>
  <c r="N23" i="1" s="1"/>
  <c r="M21" i="1"/>
  <c r="N21" i="1" s="1"/>
  <c r="H6" i="3"/>
  <c r="J6" i="3" s="1"/>
  <c r="H9" i="3" l="1"/>
  <c r="I6" i="3"/>
  <c r="I9" i="3" s="1"/>
  <c r="J9" i="3"/>
</calcChain>
</file>

<file path=xl/sharedStrings.xml><?xml version="1.0" encoding="utf-8"?>
<sst xmlns="http://schemas.openxmlformats.org/spreadsheetml/2006/main" count="2412" uniqueCount="335">
  <si>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</si>
  <si>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</si>
  <si>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</si>
  <si>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</si>
  <si>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</si>
  <si>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</si>
  <si>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</si>
  <si>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</si>
  <si>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</si>
  <si>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</si>
  <si>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</si>
  <si>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</si>
  <si>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</si>
  <si>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</si>
  <si>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</si>
  <si>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</si>
  <si>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</si>
  <si>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</si>
  <si>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</si>
  <si>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</si>
  <si>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</si>
  <si>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</si>
  <si>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</si>
  <si>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</si>
  <si>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</si>
  <si>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</si>
  <si>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</si>
  <si>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</si>
  <si>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</si>
  <si>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</si>
  <si>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</si>
  <si>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</si>
  <si>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</si>
  <si>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</si>
  <si>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</si>
  <si>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</si>
  <si>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</si>
  <si>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</si>
  <si>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</si>
  <si>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</si>
  <si>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</si>
  <si>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</si>
  <si>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</si>
  <si>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</si>
  <si>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</si>
  <si>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</si>
  <si>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</si>
  <si>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</si>
  <si>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</si>
  <si>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</si>
  <si>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</si>
  <si>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</si>
  <si>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</si>
  <si>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</si>
  <si>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</si>
  <si>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</si>
  <si>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</si>
  <si>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</si>
  <si>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</si>
  <si>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</si>
  <si>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</si>
  <si>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</si>
  <si>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</si>
  <si>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</si>
  <si>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</si>
  <si>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</si>
  <si>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</si>
  <si>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</si>
  <si>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</si>
  <si>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</si>
  <si>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</si>
  <si>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</si>
  <si>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</si>
  <si>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</si>
  <si>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</si>
  <si>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</si>
  <si>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</si>
  <si>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</si>
  <si>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</si>
  <si>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</si>
  <si>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</si>
  <si>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</si>
  <si>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</si>
  <si>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</si>
  <si>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</si>
  <si>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</si>
  <si>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</si>
  <si>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</si>
  <si>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</si>
  <si>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</si>
  <si>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</si>
  <si>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</si>
  <si>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</si>
  <si>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</si>
  <si>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</si>
  <si>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</si>
  <si>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</si>
  <si>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</si>
  <si>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</si>
  <si>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</si>
  <si>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</si>
  <si>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</si>
  <si>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</si>
  <si>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</si>
  <si>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</si>
  <si>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</si>
  <si>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</si>
  <si>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</si>
  <si>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</si>
  <si>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</si>
  <si>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</si>
  <si>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</si>
  <si>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</si>
  <si>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</si>
  <si>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Reinigungs-
fläche 
(m²)</t>
  </si>
  <si>
    <t>Reinigungsart</t>
  </si>
  <si>
    <t>Tausch-
tage/Jahr</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</si>
  <si>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</si>
  <si>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</si>
  <si>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</si>
  <si>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</si>
  <si>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</si>
  <si>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</si>
  <si>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</si>
  <si>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</si>
  <si>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</si>
  <si>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</si>
  <si>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</si>
  <si>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</si>
  <si>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</si>
  <si>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</si>
  <si>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</si>
  <si>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</si>
  <si>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</si>
  <si>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</si>
  <si>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</si>
  <si>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</si>
  <si>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</si>
  <si>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</si>
  <si>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</si>
  <si>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</si>
  <si>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</si>
  <si>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</si>
  <si>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</si>
  <si>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</si>
  <si>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</si>
  <si>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</si>
  <si>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Einheit</t>
  </si>
  <si>
    <t>Reinigungstage</t>
  </si>
  <si>
    <t>Nettopreis</t>
  </si>
  <si>
    <t>Bruttopreis</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</si>
  <si>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</si>
  <si>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</si>
  <si>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</si>
  <si>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</si>
  <si>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</si>
  <si>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</si>
  <si>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</si>
  <si>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</si>
  <si>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</si>
  <si>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</si>
  <si>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</si>
  <si>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</si>
  <si>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</si>
  <si>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</si>
  <si>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</si>
  <si>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</si>
  <si>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</si>
  <si>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</si>
  <si>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</si>
  <si>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</si>
  <si>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</si>
  <si>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</si>
  <si>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</si>
  <si>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</si>
  <si>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</si>
  <si>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</si>
  <si>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</si>
  <si>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rPr>
        <b/>
        <sz val="8"/>
        <rFont val="Verdana"/>
        <family val="2"/>
      </rPr>
      <t>Reinigungstage</t>
    </r>
    <r>
      <rPr>
        <sz val="8"/>
        <rFont val="Verdana"/>
        <family val="2"/>
      </rPr>
      <t xml:space="preserve"> pro Objekt und Reinigungsart</t>
    </r>
  </si>
  <si>
    <r>
      <rPr>
        <b/>
        <sz val="8"/>
        <rFont val="Verdana"/>
        <family val="2"/>
      </rPr>
      <t>Preisübersicht nach Bedarf</t>
    </r>
    <r>
      <rPr>
        <sz val="8"/>
        <rFont val="Verdana"/>
        <family val="2"/>
      </rPr>
      <t xml:space="preserve"> pro Jahr (in €)</t>
    </r>
  </si>
  <si>
    <r>
      <rPr>
        <b/>
        <sz val="8"/>
        <rFont val="Verdana"/>
        <family val="2"/>
      </rPr>
      <t>Preisübersicht</t>
    </r>
    <r>
      <rPr>
        <sz val="8"/>
        <rFont val="Verdana"/>
        <family val="2"/>
      </rPr>
      <t xml:space="preserve"> pro Jahr (in €)</t>
    </r>
  </si>
  <si>
    <t>Anzahl / 
Jahr</t>
  </si>
  <si>
    <t>Preis pro 
Einheit (€)</t>
  </si>
  <si>
    <t>Netto-Preis / 
Jahr (€)</t>
  </si>
  <si>
    <t>Reinigungs-
intervall</t>
  </si>
  <si>
    <t>Anzahl der Matten
(Stück)</t>
  </si>
  <si>
    <t>Größe</t>
  </si>
  <si>
    <t>Fläche
(m²)</t>
  </si>
  <si>
    <t>Preis pro Tausch
(€)</t>
  </si>
  <si>
    <t>Netto-Preis / Jahr
(€)</t>
  </si>
  <si>
    <t>Länge 
(cm)</t>
  </si>
  <si>
    <t>Breite 
(cm)</t>
  </si>
  <si>
    <t>maximale Reinigungstage
im Jahr für
Reinigungsintervall 5</t>
  </si>
  <si>
    <t>Reinigungsintervall</t>
  </si>
  <si>
    <t>Ausfüllhinweise 
(nur 1 Häkchen setzen):</t>
  </si>
  <si>
    <r>
      <t xml:space="preserve">Vorgaben
</t>
    </r>
    <r>
      <rPr>
        <sz val="8"/>
        <rFont val="Verdana"/>
        <family val="2"/>
      </rPr>
      <t>Die Vorgaben bei den Sozialversicherungsbeiträgen entsprechen den gesetzlichen Mindestangaben.</t>
    </r>
  </si>
  <si>
    <t>Netto-Preis
(€)</t>
  </si>
  <si>
    <t>Bemerkung</t>
  </si>
  <si>
    <t>2026
in %</t>
  </si>
  <si>
    <t>Krankenversicherungzusatzbeitrag
(halber Zusatzbeitrag Arbeitgeberanteil vom durchschnittlichen Zusatzbeitrag von 2,90 %)</t>
  </si>
  <si>
    <t>GS Pannwitz</t>
  </si>
  <si>
    <t>Los 3</t>
  </si>
  <si>
    <t>Pannwitz Grundschule</t>
  </si>
  <si>
    <t>Schulgebäude</t>
  </si>
  <si>
    <t>Pannwitzallee 1</t>
  </si>
  <si>
    <t>17279</t>
  </si>
  <si>
    <t>Lychen</t>
  </si>
  <si>
    <t>SH Pannwitz</t>
  </si>
  <si>
    <t>Sporthalle</t>
  </si>
  <si>
    <t>Unterhaltsreinigung (nach Bedarf)</t>
  </si>
  <si>
    <t>Sportplatz</t>
  </si>
  <si>
    <t>Sportplatz am Weinberg</t>
  </si>
  <si>
    <t>Sozialgebäude</t>
  </si>
  <si>
    <t>Weinbergstraße</t>
  </si>
  <si>
    <t>Grundreinigung (nach Bedarf)</t>
  </si>
  <si>
    <t>Kalkulation Verbrauchsmaterial</t>
  </si>
  <si>
    <t>2.OG</t>
  </si>
  <si>
    <t>Klassenraum</t>
  </si>
  <si>
    <t>Linoleum</t>
  </si>
  <si>
    <t>WC</t>
  </si>
  <si>
    <t>Fliesen</t>
  </si>
  <si>
    <t>WC Vorraum</t>
  </si>
  <si>
    <t>Flur</t>
  </si>
  <si>
    <t>Treppe</t>
  </si>
  <si>
    <t>1.OG</t>
  </si>
  <si>
    <t>Keramikraum</t>
  </si>
  <si>
    <t>WC Jungen</t>
  </si>
  <si>
    <t>WC Mädchen</t>
  </si>
  <si>
    <t>Aula</t>
  </si>
  <si>
    <t>Parkett</t>
  </si>
  <si>
    <t>Bühne</t>
  </si>
  <si>
    <t>Textil</t>
  </si>
  <si>
    <t>Podest</t>
  </si>
  <si>
    <t>EG</t>
  </si>
  <si>
    <t>Bücherei</t>
  </si>
  <si>
    <t>Lehrerzimmer</t>
  </si>
  <si>
    <t>Sekretariat</t>
  </si>
  <si>
    <t>Büro</t>
  </si>
  <si>
    <t>1b</t>
  </si>
  <si>
    <t>1a</t>
  </si>
  <si>
    <t>hinter</t>
  </si>
  <si>
    <t>Archiv</t>
  </si>
  <si>
    <t>Flur 1</t>
  </si>
  <si>
    <t>Flur 2</t>
  </si>
  <si>
    <t>Terrazzo</t>
  </si>
  <si>
    <t>Sekreta</t>
  </si>
  <si>
    <t>PC Raum</t>
  </si>
  <si>
    <t>01</t>
  </si>
  <si>
    <t>KG</t>
  </si>
  <si>
    <t>Hausmeister</t>
  </si>
  <si>
    <t>Speisesaal</t>
  </si>
  <si>
    <t>Küche</t>
  </si>
  <si>
    <t>hinten</t>
  </si>
  <si>
    <t>Küche Vorbereitung</t>
  </si>
  <si>
    <t>Speise-
raum</t>
  </si>
  <si>
    <t>Werken</t>
  </si>
  <si>
    <t>10</t>
  </si>
  <si>
    <t>Lager</t>
  </si>
  <si>
    <t>Unterricht</t>
  </si>
  <si>
    <t>Sanitär</t>
  </si>
  <si>
    <t>Verkehr</t>
  </si>
  <si>
    <t>Funktion</t>
  </si>
  <si>
    <t>Technik</t>
  </si>
  <si>
    <t>Versorgung</t>
  </si>
  <si>
    <t>Halle</t>
  </si>
  <si>
    <t>Sportboden</t>
  </si>
  <si>
    <t>Prallschutz</t>
  </si>
  <si>
    <t>Geräteraum</t>
  </si>
  <si>
    <t>Schiedsrichterraum</t>
  </si>
  <si>
    <t>Tribüne</t>
  </si>
  <si>
    <t>WC Damen</t>
  </si>
  <si>
    <t>WC Herren</t>
  </si>
  <si>
    <t>6</t>
  </si>
  <si>
    <t>Umkleide</t>
  </si>
  <si>
    <t>Dusche</t>
  </si>
  <si>
    <t>5</t>
  </si>
  <si>
    <t>4</t>
  </si>
  <si>
    <t>3</t>
  </si>
  <si>
    <t>2</t>
  </si>
  <si>
    <t>1</t>
  </si>
  <si>
    <t>Eingang</t>
  </si>
  <si>
    <t>Steinfliesen</t>
  </si>
  <si>
    <t>Abstellraum</t>
  </si>
  <si>
    <t>Sport</t>
  </si>
  <si>
    <t>Betonwerkstein</t>
  </si>
  <si>
    <t>PVC</t>
  </si>
  <si>
    <t>Umkleideraum</t>
  </si>
  <si>
    <t>Versammlungsraum</t>
  </si>
  <si>
    <t>Tausch</t>
  </si>
  <si>
    <t>Handseife mild, pH neutral,
hautschonend und Pflengend</t>
  </si>
  <si>
    <t>500 ml</t>
  </si>
  <si>
    <t>Toilettenpapier 2 lagig, hochweiß, recycling
8 Rollen à 250 Blatt</t>
  </si>
  <si>
    <t>Rolle</t>
  </si>
  <si>
    <t xml:space="preserve">Falthandtuch 25 cm x 23 cm 
1-lagig, V-Falz, natur, 5000 Blatt </t>
  </si>
  <si>
    <t>Karton</t>
  </si>
  <si>
    <t>Handwaschcreme, mild, zart,
hautfreundlich, hautpflegend</t>
  </si>
  <si>
    <t>5 l</t>
  </si>
  <si>
    <t>Toilettenpapier Jumbo, 2 lagig, hochweiß, recycling
12 Rollen, ca. 9,2 cm x 150 m</t>
  </si>
  <si>
    <t>Abfallsäcke Premium, umweltschonend, blau,
25 Stk. 700 x 1100mm</t>
  </si>
  <si>
    <t>Seifenkonzentrat für Schaumspender
mild, pH neutral</t>
  </si>
  <si>
    <t>Toilettenpapier 2 lagig,
hochweiß, recycling
8 Rollen à 250 Blatt</t>
  </si>
  <si>
    <t>Kipp-Harzentferner oder ein vergleichbarer  Spezialreiniger zum entfernen von großflächigen Harzflecken</t>
  </si>
  <si>
    <t>10 l</t>
  </si>
  <si>
    <t>Abfallsäcke Premium,
umweltschonend, blau, 25 Stk.,
700 x 1100 mm</t>
  </si>
  <si>
    <t>Müllsack ca. 50 Liter, blau, 25 Stk.</t>
  </si>
  <si>
    <t>Toilettenpapier 2 lagig, 
hochweiß, recycling
8 Rollen à 250 Blatt</t>
  </si>
  <si>
    <t>Müllsack ca. 50 Liter, blau,
25 Stk.</t>
  </si>
  <si>
    <t>Schule</t>
  </si>
  <si>
    <t>UnterhaltsRG</t>
  </si>
  <si>
    <t>Reinigungs-häufigkeit</t>
  </si>
  <si>
    <t>GrundRG</t>
  </si>
  <si>
    <t>UnterhaltsRG (nach Bedarf)</t>
  </si>
  <si>
    <t>GrundRG (nach Bedarf)</t>
  </si>
  <si>
    <t>Matten</t>
  </si>
  <si>
    <t>Preisübersicht (nach Bedarf)</t>
  </si>
  <si>
    <t>SVS UnterhaltsRG</t>
  </si>
  <si>
    <t>SVS GrundRG</t>
  </si>
  <si>
    <r>
      <t xml:space="preserve">Kalkulation </t>
    </r>
    <r>
      <rPr>
        <b/>
        <sz val="8"/>
        <rFont val="Verdana"/>
        <family val="2"/>
      </rPr>
      <t>Ballwachs- und Harzentfernung</t>
    </r>
  </si>
  <si>
    <t>Preis pro m²
in €</t>
  </si>
  <si>
    <t>Verbrauch</t>
  </si>
  <si>
    <t>Preiszusammenstellung Los 3</t>
  </si>
  <si>
    <t>Preiszusammenstellung nach Bedarf</t>
  </si>
  <si>
    <t>MwSt.</t>
  </si>
  <si>
    <t>Jahrespreis in €</t>
  </si>
  <si>
    <t>Jahrespreis Reinigung</t>
  </si>
  <si>
    <t>Wertungspreis (netto) in €</t>
  </si>
  <si>
    <t>Wertungspreis (brutto) in €</t>
  </si>
  <si>
    <t xml:space="preserve"> Ballwachs- und Harzentfernung</t>
  </si>
  <si>
    <t>Brandenburg</t>
  </si>
  <si>
    <t>Reinigungstage 
 maximal
 (UnterhaltsRG)</t>
  </si>
  <si>
    <t xml:space="preserve"> Ballwachs- und Harz-
entfernung</t>
  </si>
  <si>
    <r>
      <t xml:space="preserve">Kalkulation </t>
    </r>
    <r>
      <rPr>
        <b/>
        <sz val="8"/>
        <rFont val="Verdana"/>
        <family val="2"/>
      </rPr>
      <t>Matten</t>
    </r>
  </si>
  <si>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</si>
  <si>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</si>
  <si>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 dabei sind die einzelnen Positionen detailliert aufzuführen.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</si>
</sst>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 _€_-;\-* #,##0.00\ _€_-;_-* &quot;-&quot;??\ _€_-;_-@_-"/>
    <numFmt numFmtId="165" formatCode="_-* #,##0.00\ [$€]_-;\-* #,##0.00\ [$€]_-;_-* &quot;-&quot;??\ [$€]_-;_-@_-"/>
    <numFmt numFmtId="166" formatCode="0.000"/>
    <numFmt numFmtId="167" formatCode="#,##0.000"/>
    <numFmt numFmtId="168" formatCode="&quot;Bitte &quot;0&quot; Werte eintragen.&quot;"/>
    <numFmt numFmtId="169"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7">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s>
  <cellStyleXfs count="62">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1"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89">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36" fillId="0" borderId="0" xfId="0" applyFont="1" applyAlignment="1">
      <alignment vertical="center"/>
    </xf>
    <xf numFmtId="0" fontId="4" fillId="0" borderId="0" xfId="56" applyFont="1" applyAlignment="1">
      <alignment vertical="center"/>
    </xf>
    <xf numFmtId="0" fontId="4" fillId="0" borderId="0" xfId="56" applyFont="1"/>
    <xf numFmtId="0" fontId="4" fillId="0" borderId="0" xfId="56" applyFont="1" applyAlignment="1">
      <alignment horizontal="left" vertical="center"/>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4" fillId="0" borderId="0" xfId="0" applyFont="1" applyAlignment="1" applyProtection="1">
      <alignment vertical="center"/>
      <protection locked="0"/>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0" xfId="60" applyFont="1" applyAlignment="1" applyProtection="1">
      <alignment vertical="center"/>
    </xf>
    <xf numFmtId="0" fontId="6" fillId="0" borderId="0" xfId="56" applyFont="1" applyAlignment="1">
      <alignment vertical="center"/>
    </xf>
    <xf numFmtId="0" fontId="10" fillId="0" borderId="0" xfId="61" applyFont="1" applyAlignment="1" applyProtection="1">
      <alignment vertical="center"/>
    </xf>
    <xf numFmtId="0" fontId="4" fillId="0" borderId="0" xfId="56" applyFont="1" applyAlignment="1" applyProtection="1">
      <alignment vertical="center"/>
      <protection locked="0"/>
    </xf>
    <xf numFmtId="168" fontId="34" fillId="0" borderId="0" xfId="56" applyNumberFormat="1" applyFont="1" applyAlignment="1">
      <alignment horizontal="left" vertical="center"/>
    </xf>
    <xf numFmtId="4" fontId="6" fillId="0" borderId="0" xfId="56" applyNumberFormat="1" applyFont="1" applyAlignment="1">
      <alignment vertical="center"/>
    </xf>
    <xf numFmtId="4" fontId="10" fillId="0" borderId="0" xfId="60" applyNumberFormat="1" applyFont="1" applyAlignment="1" applyProtection="1">
      <alignment vertical="center"/>
    </xf>
    <xf numFmtId="4" fontId="4" fillId="0" borderId="0" xfId="56" applyNumberFormat="1" applyFont="1" applyAlignment="1">
      <alignment vertical="center"/>
    </xf>
    <xf numFmtId="0" fontId="4" fillId="0" borderId="0" xfId="56" applyFont="1" applyAlignment="1">
      <alignment vertical="center" wrapText="1"/>
    </xf>
    <xf numFmtId="0" fontId="2" fillId="0" borderId="0" xfId="56" applyFont="1" applyAlignment="1">
      <alignment vertical="center"/>
    </xf>
    <xf numFmtId="0" fontId="10" fillId="0" borderId="0" xfId="39" applyFont="1" applyAlignment="1" applyProtection="1">
      <alignment horizontal="left" vertical="center"/>
    </xf>
    <xf numFmtId="0" fontId="4" fillId="0" borderId="11" xfId="56" applyFont="1" applyBorder="1" applyAlignment="1">
      <alignment vertical="center" wrapText="1"/>
    </xf>
    <xf numFmtId="0" fontId="4" fillId="24" borderId="16" xfId="56" applyFont="1" applyFill="1" applyBorder="1" applyAlignment="1">
      <alignment horizontal="center" vertical="center" wrapText="1"/>
    </xf>
    <xf numFmtId="0" fontId="4" fillId="24" borderId="19" xfId="56" applyFont="1" applyFill="1" applyBorder="1" applyAlignment="1">
      <alignment horizontal="center" vertical="center" wrapText="1"/>
    </xf>
    <xf numFmtId="0" fontId="4" fillId="24" borderId="16" xfId="56" applyFont="1" applyFill="1" applyBorder="1" applyAlignment="1">
      <alignment horizontal="center" vertical="center"/>
    </xf>
    <xf numFmtId="0" fontId="4" fillId="24" borderId="20" xfId="56" applyFont="1" applyFill="1" applyBorder="1" applyAlignment="1">
      <alignment horizontal="center" vertical="center" wrapText="1"/>
    </xf>
    <xf numFmtId="4" fontId="4" fillId="0" borderId="0" xfId="56" applyNumberFormat="1" applyFont="1"/>
    <xf numFmtId="0" fontId="4" fillId="27" borderId="10" xfId="56" applyFont="1" applyFill="1" applyBorder="1" applyAlignment="1" applyProtection="1">
      <alignment vertical="center"/>
      <protection locked="0"/>
    </xf>
    <xf numFmtId="4" fontId="10" fillId="0" borderId="24" xfId="39" applyNumberFormat="1" applyFont="1" applyBorder="1" applyAlignment="1" applyProtection="1">
      <alignment vertical="center" wrapText="1"/>
    </xf>
    <xf numFmtId="4" fontId="4" fillId="0" borderId="10" xfId="0" applyNumberFormat="1" applyFont="1" applyBorder="1" applyAlignment="1">
      <alignment vertical="center" wrapText="1"/>
    </xf>
    <xf numFmtId="3" fontId="4" fillId="0" borderId="10" xfId="0" applyNumberFormat="1" applyFont="1" applyBorder="1" applyAlignment="1">
      <alignment horizontal="center" vertical="center" wrapText="1"/>
    </xf>
    <xf numFmtId="4" fontId="4" fillId="31" borderId="10" xfId="0" applyNumberFormat="1" applyFont="1" applyFill="1" applyBorder="1" applyAlignment="1">
      <alignment vertical="center" wrapText="1"/>
    </xf>
    <xf numFmtId="0" fontId="4" fillId="24" borderId="25" xfId="0" applyFont="1" applyFill="1" applyBorder="1" applyAlignment="1">
      <alignment horizontal="center" vertical="center" wrapText="1"/>
    </xf>
    <xf numFmtId="0" fontId="4" fillId="0" borderId="25" xfId="0" applyFont="1" applyBorder="1" applyAlignment="1">
      <alignment vertical="center" wrapText="1"/>
    </xf>
    <xf numFmtId="4" fontId="4" fillId="0" borderId="25" xfId="0" applyNumberFormat="1" applyFont="1" applyBorder="1" applyAlignment="1">
      <alignment vertical="center" wrapText="1"/>
    </xf>
    <xf numFmtId="3" fontId="4" fillId="0" borderId="25" xfId="0" applyNumberFormat="1" applyFont="1" applyBorder="1" applyAlignment="1">
      <alignment horizontal="center" vertical="center" wrapText="1"/>
    </xf>
    <xf numFmtId="4" fontId="4" fillId="31" borderId="25" xfId="0" applyNumberFormat="1" applyFont="1" applyFill="1" applyBorder="1" applyAlignment="1">
      <alignment vertical="center" wrapText="1"/>
    </xf>
    <xf numFmtId="0" fontId="4" fillId="0" borderId="10" xfId="56" applyFont="1" applyBorder="1" applyAlignment="1">
      <alignment vertical="center" wrapText="1"/>
    </xf>
    <xf numFmtId="0" fontId="4" fillId="0" borderId="10" xfId="56" applyFont="1" applyBorder="1" applyAlignment="1">
      <alignment horizontal="center" vertical="center" wrapText="1"/>
    </xf>
    <xf numFmtId="4" fontId="4" fillId="0" borderId="10" xfId="56" applyNumberFormat="1" applyFont="1" applyBorder="1" applyAlignment="1">
      <alignment horizontal="center" vertical="center" wrapText="1"/>
    </xf>
    <xf numFmtId="4" fontId="4" fillId="0" borderId="10" xfId="56" applyNumberFormat="1" applyFont="1" applyBorder="1" applyAlignment="1">
      <alignment horizontal="right" vertical="center" wrapText="1"/>
    </xf>
    <xf numFmtId="1" fontId="4" fillId="0" borderId="26" xfId="56" applyNumberFormat="1" applyFont="1" applyBorder="1" applyAlignment="1">
      <alignment horizontal="center" vertical="center" wrapText="1"/>
    </xf>
    <xf numFmtId="0" fontId="4" fillId="0" borderId="26" xfId="56" applyFont="1" applyBorder="1" applyAlignment="1">
      <alignment vertical="center" wrapText="1"/>
    </xf>
    <xf numFmtId="4" fontId="4" fillId="0" borderId="26" xfId="56" applyNumberFormat="1" applyFont="1" applyBorder="1" applyAlignment="1">
      <alignment horizontal="center" vertical="center" wrapText="1"/>
    </xf>
    <xf numFmtId="4" fontId="4" fillId="0" borderId="26" xfId="56" applyNumberFormat="1" applyFont="1" applyBorder="1" applyAlignment="1">
      <alignment vertical="center" wrapText="1"/>
    </xf>
    <xf numFmtId="4" fontId="4" fillId="0" borderId="26" xfId="56" applyNumberFormat="1" applyFont="1" applyBorder="1" applyAlignment="1">
      <alignment horizontal="right"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4" fillId="0" borderId="0" xfId="0" applyFont="1" applyAlignment="1">
      <alignment horizontal="center" vertical="center" wrapText="1"/>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24" borderId="24" xfId="0" applyFont="1" applyFill="1" applyBorder="1" applyAlignment="1">
      <alignment horizontal="center" vertical="center" wrapText="1"/>
    </xf>
    <xf numFmtId="0" fontId="4" fillId="0" borderId="24" xfId="44" applyFont="1" applyBorder="1" applyAlignment="1">
      <alignment vertical="center" wrapText="1"/>
    </xf>
    <xf numFmtId="4" fontId="4" fillId="0" borderId="24" xfId="0" applyNumberFormat="1" applyFont="1" applyBorder="1" applyAlignment="1">
      <alignment horizontal="center" vertical="center" wrapText="1"/>
    </xf>
    <xf numFmtId="0" fontId="4" fillId="31" borderId="24" xfId="0" applyFont="1" applyFill="1" applyBorder="1" applyAlignment="1">
      <alignment vertical="center" wrapText="1"/>
    </xf>
    <xf numFmtId="4" fontId="4" fillId="0" borderId="24" xfId="0" applyNumberFormat="1" applyFont="1" applyBorder="1" applyAlignment="1">
      <alignment vertical="center" wrapText="1"/>
    </xf>
    <xf numFmtId="4" fontId="4" fillId="31" borderId="24" xfId="0" applyNumberFormat="1" applyFont="1" applyFill="1" applyBorder="1" applyAlignment="1">
      <alignment horizontal="center"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0" fontId="36" fillId="0" borderId="0" xfId="0" applyFont="1" applyAlignment="1" applyProtection="1">
      <alignment vertical="center"/>
      <protection locked="0"/>
    </xf>
    <xf numFmtId="0" fontId="32" fillId="24" borderId="21" xfId="0" applyFont="1" applyFill="1" applyBorder="1" applyAlignment="1">
      <alignment vertical="center"/>
    </xf>
    <xf numFmtId="0" fontId="8" fillId="24" borderId="11" xfId="0" applyFont="1" applyFill="1" applyBorder="1" applyAlignment="1">
      <alignment vertical="center"/>
    </xf>
    <xf numFmtId="0" fontId="8" fillId="24" borderId="22" xfId="0" applyFont="1" applyFill="1" applyBorder="1" applyAlignment="1">
      <alignment vertical="center"/>
    </xf>
    <xf numFmtId="0" fontId="4" fillId="0" borderId="10" xfId="0" applyFont="1" applyBorder="1" applyAlignment="1">
      <alignment horizontal="center" vertical="center" wrapText="1"/>
    </xf>
    <xf numFmtId="4" fontId="4" fillId="26" borderId="10" xfId="0" applyNumberFormat="1" applyFont="1" applyFill="1" applyBorder="1" applyAlignment="1" applyProtection="1">
      <alignment vertical="center"/>
      <protection locked="0"/>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9" borderId="0" xfId="0" applyFont="1" applyFill="1" applyAlignment="1">
      <alignment vertical="center"/>
    </xf>
    <xf numFmtId="0" fontId="4" fillId="30"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1" borderId="10" xfId="0" applyNumberFormat="1" applyFont="1" applyFill="1" applyBorder="1" applyAlignment="1">
      <alignment horizontal="center" vertical="center"/>
    </xf>
    <xf numFmtId="4" fontId="41" fillId="28" borderId="10" xfId="0" applyNumberFormat="1" applyFont="1" applyFill="1" applyBorder="1" applyAlignment="1">
      <alignment horizontal="center" vertical="center"/>
    </xf>
    <xf numFmtId="4" fontId="4" fillId="28" borderId="10" xfId="0" applyNumberFormat="1" applyFont="1" applyFill="1" applyBorder="1" applyAlignment="1">
      <alignment horizontal="center" vertical="center"/>
    </xf>
    <xf numFmtId="4" fontId="4" fillId="31"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169" fontId="34" fillId="0" borderId="0" xfId="56" applyNumberFormat="1" applyFont="1" applyAlignment="1">
      <alignment horizontal="left" vertical="center"/>
    </xf>
    <xf numFmtId="0" fontId="4" fillId="24" borderId="10" xfId="56" applyFont="1" applyFill="1" applyBorder="1" applyAlignment="1">
      <alignment horizontal="center" vertical="center"/>
    </xf>
    <xf numFmtId="0" fontId="4" fillId="24" borderId="10" xfId="56" applyFont="1" applyFill="1" applyBorder="1" applyAlignment="1">
      <alignment horizontal="center" vertical="center" wrapText="1"/>
    </xf>
    <xf numFmtId="0" fontId="4" fillId="0" borderId="10" xfId="56" applyFont="1" applyBorder="1" applyAlignment="1">
      <alignment horizontal="center" vertical="center"/>
    </xf>
    <xf numFmtId="0" fontId="4" fillId="0" borderId="10" xfId="56" applyFont="1" applyBorder="1" applyAlignment="1">
      <alignment horizontal="left" vertical="center" wrapText="1"/>
    </xf>
    <xf numFmtId="0" fontId="4" fillId="0" borderId="10" xfId="56" applyFont="1" applyBorder="1" applyAlignment="1">
      <alignment vertical="center"/>
    </xf>
    <xf numFmtId="4" fontId="4" fillId="0" borderId="10" xfId="56" applyNumberFormat="1" applyFont="1" applyBorder="1" applyAlignment="1">
      <alignment vertical="center"/>
    </xf>
    <xf numFmtId="0" fontId="43" fillId="0" borderId="0" xfId="56" applyFont="1" applyAlignment="1">
      <alignment vertical="center"/>
    </xf>
    <xf numFmtId="4" fontId="4" fillId="26" borderId="26" xfId="56" applyNumberFormat="1" applyFont="1" applyFill="1" applyBorder="1" applyAlignment="1" applyProtection="1">
      <alignment horizontal="right" vertical="center" wrapText="1"/>
      <protection locked="0"/>
    </xf>
    <xf numFmtId="4" fontId="4" fillId="26" borderId="10" xfId="56" applyNumberFormat="1" applyFont="1" applyFill="1" applyBorder="1" applyAlignment="1" applyProtection="1">
      <alignment horizontal="right" vertical="center" wrapText="1"/>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0" xfId="0" applyFont="1" applyAlignment="1">
      <alignment horizontal="center" vertical="center" wrapText="1"/>
    </xf>
    <xf numFmtId="0" fontId="4" fillId="24" borderId="25" xfId="0" applyFont="1" applyFill="1" applyBorder="1" applyAlignment="1">
      <alignment horizontal="center" vertical="center" wrapText="1"/>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20"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2"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10" xfId="0" applyFont="1" applyBorder="1" applyAlignment="1">
      <alignment horizontal="center" vertical="center"/>
    </xf>
    <xf numFmtId="167" fontId="4" fillId="0" borderId="10" xfId="0" applyNumberFormat="1" applyFont="1" applyBorder="1" applyAlignment="1">
      <alignment horizontal="center" vertical="center"/>
    </xf>
    <xf numFmtId="0" fontId="4" fillId="24" borderId="23" xfId="0" applyFont="1" applyFill="1" applyBorder="1" applyAlignment="1">
      <alignment horizontal="left" vertical="center" wrapText="1"/>
    </xf>
    <xf numFmtId="0" fontId="4" fillId="24" borderId="21" xfId="0" applyFont="1" applyFill="1" applyBorder="1" applyAlignment="1">
      <alignment horizontal="left" vertical="center" wrapText="1"/>
    </xf>
    <xf numFmtId="0" fontId="4" fillId="24" borderId="20"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20"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11" xfId="0" applyFont="1" applyBorder="1" applyAlignment="1">
      <alignment horizontal="left" vertical="center" wrapText="1"/>
    </xf>
    <xf numFmtId="0" fontId="4" fillId="0" borderId="22"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24" borderId="16" xfId="56" applyFont="1" applyFill="1" applyBorder="1" applyAlignment="1">
      <alignment horizontal="center" vertical="center" wrapText="1"/>
    </xf>
    <xf numFmtId="0" fontId="4" fillId="24" borderId="19" xfId="56" applyFont="1" applyFill="1" applyBorder="1" applyAlignment="1">
      <alignment horizontal="center" vertical="center" wrapText="1"/>
    </xf>
    <xf numFmtId="4" fontId="4" fillId="24" borderId="16" xfId="56" applyNumberFormat="1" applyFont="1" applyFill="1" applyBorder="1" applyAlignment="1">
      <alignment horizontal="center" vertical="center" wrapText="1"/>
    </xf>
    <xf numFmtId="4" fontId="4" fillId="24" borderId="19" xfId="56" applyNumberFormat="1" applyFont="1" applyFill="1" applyBorder="1" applyAlignment="1">
      <alignment horizontal="center" vertical="center" wrapText="1"/>
    </xf>
    <xf numFmtId="0" fontId="4" fillId="0" borderId="0" xfId="56" applyFont="1" applyAlignment="1">
      <alignment horizontal="left" vertical="center" wrapText="1"/>
    </xf>
    <xf numFmtId="0" fontId="4" fillId="0" borderId="11" xfId="56" applyFont="1" applyBorder="1" applyAlignment="1">
      <alignment horizontal="left" vertical="center" wrapText="1"/>
    </xf>
    <xf numFmtId="0" fontId="4" fillId="24" borderId="16" xfId="56" applyFont="1" applyFill="1" applyBorder="1" applyAlignment="1">
      <alignment horizontal="center" vertical="center"/>
    </xf>
    <xf numFmtId="0" fontId="4" fillId="24" borderId="19" xfId="56" applyFont="1" applyFill="1" applyBorder="1" applyAlignment="1">
      <alignment horizontal="center" vertical="center"/>
    </xf>
    <xf numFmtId="0" fontId="4" fillId="24" borderId="20" xfId="56" applyFont="1" applyFill="1" applyBorder="1" applyAlignment="1">
      <alignment horizontal="center" vertical="center" wrapText="1"/>
    </xf>
    <xf numFmtId="0" fontId="4" fillId="24" borderId="17" xfId="56" applyFont="1" applyFill="1" applyBorder="1" applyAlignment="1">
      <alignment horizontal="center" vertical="center" wrapText="1"/>
    </xf>
    <xf numFmtId="4" fontId="4" fillId="24" borderId="16" xfId="47" applyNumberFormat="1" applyFont="1" applyFill="1" applyBorder="1" applyAlignment="1">
      <alignment horizontal="center" vertical="center" wrapText="1"/>
    </xf>
    <xf numFmtId="4" fontId="4" fillId="24" borderId="19" xfId="47" applyNumberFormat="1" applyFont="1" applyFill="1" applyBorder="1" applyAlignment="1">
      <alignment horizontal="center" vertical="center" wrapText="1"/>
    </xf>
  </cellXfs>
  <cellStyles count="62">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60" xr:uid="{26C4F5BF-AB6A-4865-A0FE-CA8287DD32F9}"/>
    <cellStyle name="Komma 2" xfId="38" xr:uid="{00000000-0005-0000-0000-000026000000}"/>
    <cellStyle name="Link" xfId="39" builtinId="8"/>
    <cellStyle name="Link 2" xfId="61" xr:uid="{89552312-80C8-41E8-8BC3-D0AE3C9A9E31}"/>
    <cellStyle name="Link 3" xfId="57"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6" xr:uid="{9271D7D4-DD00-4BDA-AD8D-A2E81E1F1DC0}"/>
    <cellStyle name="Standard 3" xfId="44" xr:uid="{00000000-0005-0000-0000-00002D000000}"/>
    <cellStyle name="Standard 4" xfId="45" xr:uid="{00000000-0005-0000-0000-00002E000000}"/>
    <cellStyle name="Standard 5" xfId="46" xr:uid="{00000000-0005-0000-0000-00002F000000}"/>
    <cellStyle name="Standard 6" xfId="59" xr:uid="{4045BEC2-7581-41A7-A782-533FFF685E66}"/>
    <cellStyle name="Standard 7" xfId="58" xr:uid="{ADCBA415-3384-4DC5-B28D-34E9C91EE81E}"/>
    <cellStyle name="Standard_Kal Sonder Bed_1" xfId="47" xr:uid="{00000000-0005-0000-0000-000030000000}"/>
    <cellStyle name="Überschrift 1 2" xfId="48" xr:uid="{00000000-0005-0000-0000-000031000000}"/>
    <cellStyle name="Überschrift 2 2" xfId="49" xr:uid="{00000000-0005-0000-0000-000032000000}"/>
    <cellStyle name="Überschrift 3 2" xfId="50" xr:uid="{00000000-0005-0000-0000-000033000000}"/>
    <cellStyle name="Überschrift 4 2" xfId="51" xr:uid="{00000000-0005-0000-0000-000034000000}"/>
    <cellStyle name="Überschrift 5" xfId="52" xr:uid="{00000000-0005-0000-0000-000035000000}"/>
    <cellStyle name="Verknüpfte Zelle 2" xfId="53" xr:uid="{00000000-0005-0000-0000-000036000000}"/>
    <cellStyle name="Warnender Text 2" xfId="54" xr:uid="{00000000-0005-0000-0000-000037000000}"/>
    <cellStyle name="Zelle überprüfen 2" xfId="55" xr:uid="{00000000-0005-0000-0000-000038000000}"/>
  </cellStyles>
  <dxfs count="131">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30"/>
      <tableStyleElement type="headerRow" dxfId="129"/>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M2" lockText="1"/>
</file>

<file path=xl/ctrlProps/ctrlProp11.xml><?xml version="1.0" encoding="utf-8"?>
<formControlPr xmlns="http://schemas.microsoft.com/office/spreadsheetml/2009/9/main" objectType="CheckBox" fmlaLink="M3" lockText="1"/>
</file>

<file path=xl/ctrlProps/ctrlProp12.xml><?xml version="1.0" encoding="utf-8"?>
<formControlPr xmlns="http://schemas.microsoft.com/office/spreadsheetml/2009/9/main" objectType="CheckBox" fmlaLink="M4" lockText="1"/>
</file>

<file path=xl/ctrlProps/ctrlProp13.xml><?xml version="1.0" encoding="utf-8"?>
<formControlPr xmlns="http://schemas.microsoft.com/office/spreadsheetml/2009/9/main" objectType="CheckBox" fmlaLink="M5" lockText="1"/>
</file>

<file path=xl/ctrlProps/ctrlProp14.xml><?xml version="1.0" encoding="utf-8"?>
<formControlPr xmlns="http://schemas.microsoft.com/office/spreadsheetml/2009/9/main" objectType="CheckBox" fmlaLink="M2" lockText="1"/>
</file>

<file path=xl/ctrlProps/ctrlProp15.xml><?xml version="1.0" encoding="utf-8"?>
<formControlPr xmlns="http://schemas.microsoft.com/office/spreadsheetml/2009/9/main" objectType="CheckBox" fmlaLink="M3" lockText="1"/>
</file>

<file path=xl/ctrlProps/ctrlProp16.xml><?xml version="1.0" encoding="utf-8"?>
<formControlPr xmlns="http://schemas.microsoft.com/office/spreadsheetml/2009/9/main" objectType="CheckBox" fmlaLink="M4" lockText="1"/>
</file>

<file path=xl/ctrlProps/ctrlProp17.xml><?xml version="1.0" encoding="utf-8"?>
<formControlPr xmlns="http://schemas.microsoft.com/office/spreadsheetml/2009/9/main" objectType="CheckBox" fmlaLink="M5" lockText="1"/>
</file>

<file path=xl/ctrlProps/ctrlProp18.xml><?xml version="1.0" encoding="utf-8"?>
<formControlPr xmlns="http://schemas.microsoft.com/office/spreadsheetml/2009/9/main" objectType="CheckBox" fmlaLink="M2" lockText="1"/>
</file>

<file path=xl/ctrlProps/ctrlProp19.xml><?xml version="1.0" encoding="utf-8"?>
<formControlPr xmlns="http://schemas.microsoft.com/office/spreadsheetml/2009/9/main" objectType="CheckBox" fmlaLink="M3"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M4" lockText="1"/>
</file>

<file path=xl/ctrlProps/ctrlProp21.xml><?xml version="1.0" encoding="utf-8"?>
<formControlPr xmlns="http://schemas.microsoft.com/office/spreadsheetml/2009/9/main" objectType="CheckBox" fmlaLink="M5" lockText="1"/>
</file>

<file path=xl/ctrlProps/ctrlProp22.xml><?xml version="1.0" encoding="utf-8"?>
<formControlPr xmlns="http://schemas.microsoft.com/office/spreadsheetml/2009/9/main" objectType="CheckBox" fmlaLink="M2" lockText="1"/>
</file>

<file path=xl/ctrlProps/ctrlProp23.xml><?xml version="1.0" encoding="utf-8"?>
<formControlPr xmlns="http://schemas.microsoft.com/office/spreadsheetml/2009/9/main" objectType="CheckBox" fmlaLink="M3" lockText="1"/>
</file>

<file path=xl/ctrlProps/ctrlProp24.xml><?xml version="1.0" encoding="utf-8"?>
<formControlPr xmlns="http://schemas.microsoft.com/office/spreadsheetml/2009/9/main" objectType="CheckBox" fmlaLink="M4" lockText="1"/>
</file>

<file path=xl/ctrlProps/ctrlProp25.xml><?xml version="1.0" encoding="utf-8"?>
<formControlPr xmlns="http://schemas.microsoft.com/office/spreadsheetml/2009/9/main" objectType="CheckBox" fmlaLink="M5" lockText="1"/>
</file>

<file path=xl/ctrlProps/ctrlProp26.xml><?xml version="1.0" encoding="utf-8"?>
<formControlPr xmlns="http://schemas.microsoft.com/office/spreadsheetml/2009/9/main" objectType="CheckBox" fmlaLink="M2" lockText="1"/>
</file>

<file path=xl/ctrlProps/ctrlProp27.xml><?xml version="1.0" encoding="utf-8"?>
<formControlPr xmlns="http://schemas.microsoft.com/office/spreadsheetml/2009/9/main" objectType="CheckBox" fmlaLink="M3" lockText="1"/>
</file>

<file path=xl/ctrlProps/ctrlProp28.xml><?xml version="1.0" encoding="utf-8"?>
<formControlPr xmlns="http://schemas.microsoft.com/office/spreadsheetml/2009/9/main" objectType="CheckBox" fmlaLink="M4" lockText="1"/>
</file>

<file path=xl/ctrlProps/ctrlProp29.xml><?xml version="1.0" encoding="utf-8"?>
<formControlPr xmlns="http://schemas.microsoft.com/office/spreadsheetml/2009/9/main" objectType="CheckBox" fmlaLink="M5" lockText="1"/>
</file>

<file path=xl/ctrlProps/ctrlProp3.xml><?xml version="1.0" encoding="utf-8"?>
<formControlPr xmlns="http://schemas.microsoft.com/office/spreadsheetml/2009/9/main" objectType="CheckBox" fmlaLink="$H$5" lockText="1"/>
</file>

<file path=xl/ctrlProps/ctrlProp30.xml><?xml version="1.0" encoding="utf-8"?>
<formControlPr xmlns="http://schemas.microsoft.com/office/spreadsheetml/2009/9/main" objectType="CheckBox" fmlaLink="M2" lockText="1"/>
</file>

<file path=xl/ctrlProps/ctrlProp31.xml><?xml version="1.0" encoding="utf-8"?>
<formControlPr xmlns="http://schemas.microsoft.com/office/spreadsheetml/2009/9/main" objectType="CheckBox" fmlaLink="M3" lockText="1"/>
</file>

<file path=xl/ctrlProps/ctrlProp32.xml><?xml version="1.0" encoding="utf-8"?>
<formControlPr xmlns="http://schemas.microsoft.com/office/spreadsheetml/2009/9/main" objectType="CheckBox" fmlaLink="M4" lockText="1"/>
</file>

<file path=xl/ctrlProps/ctrlProp33.xml><?xml version="1.0" encoding="utf-8"?>
<formControlPr xmlns="http://schemas.microsoft.com/office/spreadsheetml/2009/9/main" objectType="CheckBox" fmlaLink="M5" lockText="1"/>
</file>

<file path=xl/ctrlProps/ctrlProp34.xml><?xml version="1.0" encoding="utf-8"?>
<formControlPr xmlns="http://schemas.microsoft.com/office/spreadsheetml/2009/9/main" objectType="CheckBox" fmlaLink="M2" lockText="1"/>
</file>

<file path=xl/ctrlProps/ctrlProp35.xml><?xml version="1.0" encoding="utf-8"?>
<formControlPr xmlns="http://schemas.microsoft.com/office/spreadsheetml/2009/9/main" objectType="CheckBox" fmlaLink="M3" lockText="1"/>
</file>

<file path=xl/ctrlProps/ctrlProp36.xml><?xml version="1.0" encoding="utf-8"?>
<formControlPr xmlns="http://schemas.microsoft.com/office/spreadsheetml/2009/9/main" objectType="CheckBox" fmlaLink="M4" lockText="1"/>
</file>

<file path=xl/ctrlProps/ctrlProp37.xml><?xml version="1.0" encoding="utf-8"?>
<formControlPr xmlns="http://schemas.microsoft.com/office/spreadsheetml/2009/9/main" objectType="CheckBox" fmlaLink="M5" lockText="1"/>
</file>

<file path=xl/ctrlProps/ctrlProp38.xml><?xml version="1.0" encoding="utf-8"?>
<formControlPr xmlns="http://schemas.microsoft.com/office/spreadsheetml/2009/9/main" objectType="CheckBox" fmlaLink="M2" lockText="1"/>
</file>

<file path=xl/ctrlProps/ctrlProp39.xml><?xml version="1.0" encoding="utf-8"?>
<formControlPr xmlns="http://schemas.microsoft.com/office/spreadsheetml/2009/9/main" objectType="CheckBox" fmlaLink="M3" lockText="1"/>
</file>

<file path=xl/ctrlProps/ctrlProp4.xml><?xml version="1.0" encoding="utf-8"?>
<formControlPr xmlns="http://schemas.microsoft.com/office/spreadsheetml/2009/9/main" objectType="CheckBox" fmlaLink="B2" lockText="1"/>
</file>

<file path=xl/ctrlProps/ctrlProp40.xml><?xml version="1.0" encoding="utf-8"?>
<formControlPr xmlns="http://schemas.microsoft.com/office/spreadsheetml/2009/9/main" objectType="CheckBox" fmlaLink="M4" lockText="1"/>
</file>

<file path=xl/ctrlProps/ctrlProp41.xml><?xml version="1.0" encoding="utf-8"?>
<formControlPr xmlns="http://schemas.microsoft.com/office/spreadsheetml/2009/9/main" objectType="CheckBox" fmlaLink="M5" lockText="1"/>
</file>

<file path=xl/ctrlProps/ctrlProp42.xml><?xml version="1.0" encoding="utf-8"?>
<formControlPr xmlns="http://schemas.microsoft.com/office/spreadsheetml/2009/9/main" objectType="CheckBox" fmlaLink="M2" lockText="1"/>
</file>

<file path=xl/ctrlProps/ctrlProp43.xml><?xml version="1.0" encoding="utf-8"?>
<formControlPr xmlns="http://schemas.microsoft.com/office/spreadsheetml/2009/9/main" objectType="CheckBox" fmlaLink="M3" lockText="1"/>
</file>

<file path=xl/ctrlProps/ctrlProp44.xml><?xml version="1.0" encoding="utf-8"?>
<formControlPr xmlns="http://schemas.microsoft.com/office/spreadsheetml/2009/9/main" objectType="CheckBox" fmlaLink="M4" lockText="1"/>
</file>

<file path=xl/ctrlProps/ctrlProp45.xml><?xml version="1.0" encoding="utf-8"?>
<formControlPr xmlns="http://schemas.microsoft.com/office/spreadsheetml/2009/9/main" objectType="CheckBox" fmlaLink="M5" lockText="1"/>
</file>

<file path=xl/ctrlProps/ctrlProp46.xml><?xml version="1.0" encoding="utf-8"?>
<formControlPr xmlns="http://schemas.microsoft.com/office/spreadsheetml/2009/9/main" objectType="CheckBox" fmlaLink="D2" lockText="1"/>
</file>

<file path=xl/ctrlProps/ctrlProp47.xml><?xml version="1.0" encoding="utf-8"?>
<formControlPr xmlns="http://schemas.microsoft.com/office/spreadsheetml/2009/9/main" objectType="CheckBox" fmlaLink="D3" lockText="1"/>
</file>

<file path=xl/ctrlProps/ctrlProp48.xml><?xml version="1.0" encoding="utf-8"?>
<formControlPr xmlns="http://schemas.microsoft.com/office/spreadsheetml/2009/9/main" objectType="CheckBox" fmlaLink="C2" lockText="1"/>
</file>

<file path=xl/ctrlProps/ctrlProp49.xml><?xml version="1.0" encoding="utf-8"?>
<formControlPr xmlns="http://schemas.microsoft.com/office/spreadsheetml/2009/9/main" objectType="CheckBox" fmlaLink="C2" lockText="1"/>
</file>

<file path=xl/ctrlProps/ctrlProp5.xml><?xml version="1.0" encoding="utf-8"?>
<formControlPr xmlns="http://schemas.microsoft.com/office/spreadsheetml/2009/9/main" objectType="CheckBox" fmlaLink="B2" lockText="1"/>
</file>

<file path=xl/ctrlProps/ctrlProp50.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1" lockText="1"/>
</file>

<file path=xl/ctrlProps/ctrlProp7.xml><?xml version="1.0" encoding="utf-8"?>
<formControlPr xmlns="http://schemas.microsoft.com/office/spreadsheetml/2009/9/main" objectType="CheckBox" fmlaLink="D2" lockText="1"/>
</file>

<file path=xl/ctrlProps/ctrlProp8.xml><?xml version="1.0" encoding="utf-8"?>
<formControlPr xmlns="http://schemas.microsoft.com/office/spreadsheetml/2009/9/main" objectType="CheckBox" fmlaLink="D1" lockText="1"/>
</file>

<file path=xl/ctrlProps/ctrlProp9.xml><?xml version="1.0" encoding="utf-8"?>
<formControlPr xmlns="http://schemas.microsoft.com/office/spreadsheetml/2009/9/main" objectType="CheckBox" fmlaLink="D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5473" name="Check Box 1" hidden="1">
              <a:extLst>
                <a:ext uri="{63B3BB69-23CF-44E3-9099-C40C66FF867C}">
                  <a14:compatExt spid="_x0000_s105473"/>
                </a:ext>
                <a:ext uri="{FF2B5EF4-FFF2-40B4-BE49-F238E27FC236}">
                  <a16:creationId xmlns:a16="http://schemas.microsoft.com/office/drawing/2014/main" id="{00000000-0008-0000-0900-0000019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5474" name="Check Box 2" descr="Hinweis 2" hidden="1">
              <a:extLst>
                <a:ext uri="{63B3BB69-23CF-44E3-9099-C40C66FF867C}">
                  <a14:compatExt spid="_x0000_s105474"/>
                </a:ext>
                <a:ext uri="{FF2B5EF4-FFF2-40B4-BE49-F238E27FC236}">
                  <a16:creationId xmlns:a16="http://schemas.microsoft.com/office/drawing/2014/main" id="{00000000-0008-0000-0900-0000029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5475" name="Check Box 3" descr="Hinweis 3" hidden="1">
              <a:extLst>
                <a:ext uri="{63B3BB69-23CF-44E3-9099-C40C66FF867C}">
                  <a14:compatExt spid="_x0000_s105475"/>
                </a:ext>
                <a:ext uri="{FF2B5EF4-FFF2-40B4-BE49-F238E27FC236}">
                  <a16:creationId xmlns:a16="http://schemas.microsoft.com/office/drawing/2014/main" id="{00000000-0008-0000-0900-0000039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5476" name="Check Box 4" descr="Hinweis 3" hidden="1">
              <a:extLst>
                <a:ext uri="{63B3BB69-23CF-44E3-9099-C40C66FF867C}">
                  <a14:compatExt spid="_x0000_s105476"/>
                </a:ext>
                <a:ext uri="{FF2B5EF4-FFF2-40B4-BE49-F238E27FC236}">
                  <a16:creationId xmlns:a16="http://schemas.microsoft.com/office/drawing/2014/main" id="{00000000-0008-0000-0900-0000049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A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A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A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A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9569" name="Check Box 1" hidden="1">
              <a:extLst>
                <a:ext uri="{63B3BB69-23CF-44E3-9099-C40C66FF867C}">
                  <a14:compatExt spid="_x0000_s109569"/>
                </a:ext>
                <a:ext uri="{FF2B5EF4-FFF2-40B4-BE49-F238E27FC236}">
                  <a16:creationId xmlns:a16="http://schemas.microsoft.com/office/drawing/2014/main" id="{00000000-0008-0000-0B00-000001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9570" name="Check Box 2" descr="Hinweis 2" hidden="1">
              <a:extLst>
                <a:ext uri="{63B3BB69-23CF-44E3-9099-C40C66FF867C}">
                  <a14:compatExt spid="_x0000_s109570"/>
                </a:ext>
                <a:ext uri="{FF2B5EF4-FFF2-40B4-BE49-F238E27FC236}">
                  <a16:creationId xmlns:a16="http://schemas.microsoft.com/office/drawing/2014/main" id="{00000000-0008-0000-0B00-000002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9571" name="Check Box 3" descr="Hinweis 3" hidden="1">
              <a:extLst>
                <a:ext uri="{63B3BB69-23CF-44E3-9099-C40C66FF867C}">
                  <a14:compatExt spid="_x0000_s109571"/>
                </a:ext>
                <a:ext uri="{FF2B5EF4-FFF2-40B4-BE49-F238E27FC236}">
                  <a16:creationId xmlns:a16="http://schemas.microsoft.com/office/drawing/2014/main" id="{00000000-0008-0000-0B00-000003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9572" name="Check Box 4" descr="Hinweis 3" hidden="1">
              <a:extLst>
                <a:ext uri="{63B3BB69-23CF-44E3-9099-C40C66FF867C}">
                  <a14:compatExt spid="_x0000_s109572"/>
                </a:ext>
                <a:ext uri="{FF2B5EF4-FFF2-40B4-BE49-F238E27FC236}">
                  <a16:creationId xmlns:a16="http://schemas.microsoft.com/office/drawing/2014/main" id="{00000000-0008-0000-0B00-000004AC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10593" name="Check Box 1" hidden="1">
              <a:extLst>
                <a:ext uri="{63B3BB69-23CF-44E3-9099-C40C66FF867C}">
                  <a14:compatExt spid="_x0000_s110593"/>
                </a:ext>
                <a:ext uri="{FF2B5EF4-FFF2-40B4-BE49-F238E27FC236}">
                  <a16:creationId xmlns:a16="http://schemas.microsoft.com/office/drawing/2014/main" id="{00000000-0008-0000-0C00-000001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10594" name="Check Box 2" descr="Hinweis 2" hidden="1">
              <a:extLst>
                <a:ext uri="{63B3BB69-23CF-44E3-9099-C40C66FF867C}">
                  <a14:compatExt spid="_x0000_s110594"/>
                </a:ext>
                <a:ext uri="{FF2B5EF4-FFF2-40B4-BE49-F238E27FC236}">
                  <a16:creationId xmlns:a16="http://schemas.microsoft.com/office/drawing/2014/main" id="{00000000-0008-0000-0C00-000002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10595" name="Check Box 3" descr="Hinweis 3" hidden="1">
              <a:extLst>
                <a:ext uri="{63B3BB69-23CF-44E3-9099-C40C66FF867C}">
                  <a14:compatExt spid="_x0000_s110595"/>
                </a:ext>
                <a:ext uri="{FF2B5EF4-FFF2-40B4-BE49-F238E27FC236}">
                  <a16:creationId xmlns:a16="http://schemas.microsoft.com/office/drawing/2014/main" id="{00000000-0008-0000-0C00-000003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10596" name="Check Box 4" descr="Hinweis 3" hidden="1">
              <a:extLst>
                <a:ext uri="{63B3BB69-23CF-44E3-9099-C40C66FF867C}">
                  <a14:compatExt spid="_x0000_s110596"/>
                </a:ext>
                <a:ext uri="{FF2B5EF4-FFF2-40B4-BE49-F238E27FC236}">
                  <a16:creationId xmlns:a16="http://schemas.microsoft.com/office/drawing/2014/main" id="{00000000-0008-0000-0C00-000004B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2641" name="Check Box 1" hidden="1">
              <a:extLst>
                <a:ext uri="{63B3BB69-23CF-44E3-9099-C40C66FF867C}">
                  <a14:compatExt spid="_x0000_s112641"/>
                </a:ext>
                <a:ext uri="{FF2B5EF4-FFF2-40B4-BE49-F238E27FC236}">
                  <a16:creationId xmlns:a16="http://schemas.microsoft.com/office/drawing/2014/main" id="{00000000-0008-0000-0D00-000001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2642" name="Check Box 2" descr="Hinweis 2" hidden="1">
              <a:extLst>
                <a:ext uri="{63B3BB69-23CF-44E3-9099-C40C66FF867C}">
                  <a14:compatExt spid="_x0000_s112642"/>
                </a:ext>
                <a:ext uri="{FF2B5EF4-FFF2-40B4-BE49-F238E27FC236}">
                  <a16:creationId xmlns:a16="http://schemas.microsoft.com/office/drawing/2014/main" id="{00000000-0008-0000-0D00-000002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2643" name="Check Box 3" descr="Hinweis 3" hidden="1">
              <a:extLst>
                <a:ext uri="{63B3BB69-23CF-44E3-9099-C40C66FF867C}">
                  <a14:compatExt spid="_x0000_s112643"/>
                </a:ext>
                <a:ext uri="{FF2B5EF4-FFF2-40B4-BE49-F238E27FC236}">
                  <a16:creationId xmlns:a16="http://schemas.microsoft.com/office/drawing/2014/main" id="{00000000-0008-0000-0D00-000003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2644" name="Check Box 4" descr="Hinweis 3" hidden="1">
              <a:extLst>
                <a:ext uri="{63B3BB69-23CF-44E3-9099-C40C66FF867C}">
                  <a14:compatExt spid="_x0000_s112644"/>
                </a:ext>
                <a:ext uri="{FF2B5EF4-FFF2-40B4-BE49-F238E27FC236}">
                  <a16:creationId xmlns:a16="http://schemas.microsoft.com/office/drawing/2014/main" id="{00000000-0008-0000-0D00-000004B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xdr:row>
          <xdr:rowOff>66675</xdr:rowOff>
        </xdr:from>
        <xdr:to>
          <xdr:col>3</xdr:col>
          <xdr:colOff>828675</xdr:colOff>
          <xdr:row>2</xdr:row>
          <xdr:rowOff>0</xdr:rowOff>
        </xdr:to>
        <xdr:sp macro="" textlink="">
          <xdr:nvSpPr>
            <xdr:cNvPr id="45060" name="Check Box 4" descr="Hinweis" hidden="1">
              <a:extLst>
                <a:ext uri="{63B3BB69-23CF-44E3-9099-C40C66FF867C}">
                  <a14:compatExt spid="_x0000_s45060"/>
                </a:ext>
                <a:ext uri="{FF2B5EF4-FFF2-40B4-BE49-F238E27FC236}">
                  <a16:creationId xmlns:a16="http://schemas.microsoft.com/office/drawing/2014/main" id="{00000000-0008-0000-0E00-000004B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xdr:row>
          <xdr:rowOff>19050</xdr:rowOff>
        </xdr:from>
        <xdr:to>
          <xdr:col>3</xdr:col>
          <xdr:colOff>828675</xdr:colOff>
          <xdr:row>2</xdr:row>
          <xdr:rowOff>266700</xdr:rowOff>
        </xdr:to>
        <xdr:sp macro="" textlink="">
          <xdr:nvSpPr>
            <xdr:cNvPr id="45062" name="Check Box 6" descr="Hinweis" hidden="1">
              <a:extLst>
                <a:ext uri="{63B3BB69-23CF-44E3-9099-C40C66FF867C}">
                  <a14:compatExt spid="_x0000_s45062"/>
                </a:ext>
                <a:ext uri="{FF2B5EF4-FFF2-40B4-BE49-F238E27FC236}">
                  <a16:creationId xmlns:a16="http://schemas.microsoft.com/office/drawing/2014/main" id="{00000000-0008-0000-0E00-000006B0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F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xdr:row>
          <xdr:rowOff>200025</xdr:rowOff>
        </xdr:from>
        <xdr:to>
          <xdr:col>2</xdr:col>
          <xdr:colOff>819150</xdr:colOff>
          <xdr:row>1</xdr:row>
          <xdr:rowOff>523875</xdr:rowOff>
        </xdr:to>
        <xdr:sp macro="" textlink="">
          <xdr:nvSpPr>
            <xdr:cNvPr id="115713" name="Check Box 1" descr="Hinweis" hidden="1">
              <a:extLst>
                <a:ext uri="{63B3BB69-23CF-44E3-9099-C40C66FF867C}">
                  <a14:compatExt spid="_x0000_s115713"/>
                </a:ext>
                <a:ext uri="{FF2B5EF4-FFF2-40B4-BE49-F238E27FC236}">
                  <a16:creationId xmlns:a16="http://schemas.microsoft.com/office/drawing/2014/main" id="{00000000-0008-0000-1000-000001C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11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19050</xdr:rowOff>
        </xdr:from>
        <xdr:to>
          <xdr:col>1</xdr:col>
          <xdr:colOff>971550</xdr:colOff>
          <xdr:row>1</xdr:row>
          <xdr:rowOff>276225</xdr:rowOff>
        </xdr:to>
        <xdr:sp macro="" textlink="">
          <xdr:nvSpPr>
            <xdr:cNvPr id="3073" name="Check Box 1" descr="Hinweis"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3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500-0000019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4450" name="Check Box 2" descr="Hinweis 2" hidden="1">
              <a:extLst>
                <a:ext uri="{63B3BB69-23CF-44E3-9099-C40C66FF867C}">
                  <a14:compatExt spid="_x0000_s104450"/>
                </a:ext>
                <a:ext uri="{FF2B5EF4-FFF2-40B4-BE49-F238E27FC236}">
                  <a16:creationId xmlns:a16="http://schemas.microsoft.com/office/drawing/2014/main" id="{00000000-0008-0000-0500-0000029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4451" name="Check Box 3" descr="Hinweis 3" hidden="1">
              <a:extLst>
                <a:ext uri="{63B3BB69-23CF-44E3-9099-C40C66FF867C}">
                  <a14:compatExt spid="_x0000_s104451"/>
                </a:ext>
                <a:ext uri="{FF2B5EF4-FFF2-40B4-BE49-F238E27FC236}">
                  <a16:creationId xmlns:a16="http://schemas.microsoft.com/office/drawing/2014/main" id="{00000000-0008-0000-0500-0000039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4452" name="Check Box 4" descr="Hinweis 3" hidden="1">
              <a:extLst>
                <a:ext uri="{63B3BB69-23CF-44E3-9099-C40C66FF867C}">
                  <a14:compatExt spid="_x0000_s104452"/>
                </a:ext>
                <a:ext uri="{FF2B5EF4-FFF2-40B4-BE49-F238E27FC236}">
                  <a16:creationId xmlns:a16="http://schemas.microsoft.com/office/drawing/2014/main" id="{00000000-0008-0000-0500-0000049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6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6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6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700-000001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8546" name="Check Box 2" descr="Hinweis 2" hidden="1">
              <a:extLst>
                <a:ext uri="{63B3BB69-23CF-44E3-9099-C40C66FF867C}">
                  <a14:compatExt spid="_x0000_s108546"/>
                </a:ext>
                <a:ext uri="{FF2B5EF4-FFF2-40B4-BE49-F238E27FC236}">
                  <a16:creationId xmlns:a16="http://schemas.microsoft.com/office/drawing/2014/main" id="{00000000-0008-0000-0700-000002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8547" name="Check Box 3" descr="Hinweis 3" hidden="1">
              <a:extLst>
                <a:ext uri="{63B3BB69-23CF-44E3-9099-C40C66FF867C}">
                  <a14:compatExt spid="_x0000_s108547"/>
                </a:ext>
                <a:ext uri="{FF2B5EF4-FFF2-40B4-BE49-F238E27FC236}">
                  <a16:creationId xmlns:a16="http://schemas.microsoft.com/office/drawing/2014/main" id="{00000000-0008-0000-0700-000003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8548" name="Check Box 4" descr="Hinweis 3" hidden="1">
              <a:extLst>
                <a:ext uri="{63B3BB69-23CF-44E3-9099-C40C66FF867C}">
                  <a14:compatExt spid="_x0000_s108548"/>
                </a:ext>
                <a:ext uri="{FF2B5EF4-FFF2-40B4-BE49-F238E27FC236}">
                  <a16:creationId xmlns:a16="http://schemas.microsoft.com/office/drawing/2014/main" id="{00000000-0008-0000-0700-000004A8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11617" name="Check Box 1" hidden="1">
              <a:extLst>
                <a:ext uri="{63B3BB69-23CF-44E3-9099-C40C66FF867C}">
                  <a14:compatExt spid="_x0000_s111617"/>
                </a:ext>
                <a:ext uri="{FF2B5EF4-FFF2-40B4-BE49-F238E27FC236}">
                  <a16:creationId xmlns:a16="http://schemas.microsoft.com/office/drawing/2014/main" id="{00000000-0008-0000-0800-000001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11618" name="Check Box 2" descr="Hinweis 2" hidden="1">
              <a:extLst>
                <a:ext uri="{63B3BB69-23CF-44E3-9099-C40C66FF867C}">
                  <a14:compatExt spid="_x0000_s111618"/>
                </a:ext>
                <a:ext uri="{FF2B5EF4-FFF2-40B4-BE49-F238E27FC236}">
                  <a16:creationId xmlns:a16="http://schemas.microsoft.com/office/drawing/2014/main" id="{00000000-0008-0000-0800-000002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11619" name="Check Box 3" descr="Hinweis 3" hidden="1">
              <a:extLst>
                <a:ext uri="{63B3BB69-23CF-44E3-9099-C40C66FF867C}">
                  <a14:compatExt spid="_x0000_s111619"/>
                </a:ext>
                <a:ext uri="{FF2B5EF4-FFF2-40B4-BE49-F238E27FC236}">
                  <a16:creationId xmlns:a16="http://schemas.microsoft.com/office/drawing/2014/main" id="{00000000-0008-0000-0800-000003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11620" name="Check Box 4" descr="Hinweis 3" hidden="1">
              <a:extLst>
                <a:ext uri="{63B3BB69-23CF-44E3-9099-C40C66FF867C}">
                  <a14:compatExt spid="_x0000_s111620"/>
                </a:ext>
                <a:ext uri="{FF2B5EF4-FFF2-40B4-BE49-F238E27FC236}">
                  <a16:creationId xmlns:a16="http://schemas.microsoft.com/office/drawing/2014/main" id="{00000000-0008-0000-0800-000004B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33.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3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7" Type="http://schemas.openxmlformats.org/officeDocument/2006/relationships/ctrlProp" Target="../ctrlProps/ctrlProp41.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40.xml"/><Relationship Id="rId5" Type="http://schemas.openxmlformats.org/officeDocument/2006/relationships/ctrlProp" Target="../ctrlProps/ctrlProp39.xml"/><Relationship Id="rId4" Type="http://schemas.openxmlformats.org/officeDocument/2006/relationships/ctrlProp" Target="../ctrlProps/ctrlProp3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7" Type="http://schemas.openxmlformats.org/officeDocument/2006/relationships/ctrlProp" Target="../ctrlProps/ctrlProp45.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4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49.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5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3.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trlProp" Target="../ctrlProps/ctrlProp21.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25.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N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5.28515625" style="3" customWidth="1"/>
    <col min="5" max="5" width="15.28515625" style="18" customWidth="1"/>
    <col min="6" max="7" width="11.5703125" style="3" customWidth="1"/>
    <col min="8" max="8" width="12" style="3" customWidth="1"/>
    <col min="9" max="10" width="11.5703125" style="3" customWidth="1"/>
    <col min="11" max="12" width="11.42578125" style="3" customWidth="1"/>
    <col min="13" max="14" width="12.7109375" style="3" customWidth="1"/>
    <col min="15" max="16384" width="11.42578125" style="3"/>
  </cols>
  <sheetData>
    <row r="1" spans="1:12" x14ac:dyDescent="0.2">
      <c r="A1" s="64"/>
    </row>
    <row r="2" spans="1:12" ht="32.450000000000003" customHeight="1" x14ac:dyDescent="0.2">
      <c r="B2" s="65" t="s">
        <v>91</v>
      </c>
      <c r="G2" s="133" t="s">
        <v>194</v>
      </c>
      <c r="H2" s="133"/>
      <c r="I2" s="132"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2"/>
      <c r="K2" s="132"/>
      <c r="L2" s="132"/>
    </row>
    <row r="3" spans="1:12" ht="15" customHeight="1" x14ac:dyDescent="0.2">
      <c r="B3" s="66" t="s">
        <v>165</v>
      </c>
      <c r="C3" s="17"/>
      <c r="E3" s="66" t="s">
        <v>160</v>
      </c>
      <c r="F3" s="67">
        <v>46266</v>
      </c>
      <c r="G3" s="68"/>
      <c r="H3" s="21" t="b">
        <v>0</v>
      </c>
      <c r="I3" s="132"/>
      <c r="J3" s="132"/>
      <c r="K3" s="132"/>
      <c r="L3" s="132"/>
    </row>
    <row r="4" spans="1:12" ht="15" customHeight="1" x14ac:dyDescent="0.2">
      <c r="B4" s="66" t="s">
        <v>153</v>
      </c>
      <c r="C4" s="17"/>
      <c r="E4" s="66" t="s">
        <v>161</v>
      </c>
      <c r="F4" s="67">
        <v>47361</v>
      </c>
      <c r="G4" s="68"/>
      <c r="H4" s="21" t="b">
        <v>0</v>
      </c>
      <c r="I4" s="132"/>
      <c r="J4" s="132"/>
      <c r="K4" s="132"/>
      <c r="L4" s="132"/>
    </row>
    <row r="5" spans="1:12" ht="15" customHeight="1" x14ac:dyDescent="0.2">
      <c r="B5" s="66" t="s">
        <v>154</v>
      </c>
      <c r="C5" s="17"/>
      <c r="E5" s="66" t="s">
        <v>162</v>
      </c>
      <c r="F5" s="69">
        <v>1</v>
      </c>
      <c r="G5" s="68"/>
      <c r="H5" s="21" t="b">
        <v>0</v>
      </c>
      <c r="I5" s="132"/>
      <c r="J5" s="132"/>
      <c r="K5" s="132"/>
      <c r="L5" s="132"/>
    </row>
    <row r="6" spans="1:12" ht="15" customHeight="1" x14ac:dyDescent="0.2">
      <c r="B6" s="66" t="s">
        <v>155</v>
      </c>
      <c r="C6" s="17"/>
      <c r="E6" s="66" t="s">
        <v>163</v>
      </c>
      <c r="F6" s="67">
        <f>DATE(YEAR($F$4)+$F$5,MONTH($F$4),DAY($F$4))</f>
        <v>47726</v>
      </c>
      <c r="I6" s="132"/>
      <c r="J6" s="132"/>
      <c r="K6" s="132"/>
      <c r="L6" s="132"/>
    </row>
    <row r="7" spans="1:12" ht="15" customHeight="1" x14ac:dyDescent="0.2">
      <c r="B7" s="66" t="s">
        <v>166</v>
      </c>
      <c r="C7" s="17"/>
    </row>
    <row r="8" spans="1:12" ht="15" customHeight="1" x14ac:dyDescent="0.2">
      <c r="B8" s="66" t="s">
        <v>167</v>
      </c>
      <c r="C8" s="17"/>
    </row>
    <row r="9" spans="1:12" ht="15" customHeight="1" x14ac:dyDescent="0.2">
      <c r="B9" s="66" t="s">
        <v>168</v>
      </c>
      <c r="C9" s="17"/>
    </row>
    <row r="10" spans="1:12" ht="15" customHeight="1" x14ac:dyDescent="0.2">
      <c r="B10" s="66" t="s">
        <v>169</v>
      </c>
      <c r="C10" s="17"/>
    </row>
    <row r="11" spans="1:12" ht="15" customHeight="1" x14ac:dyDescent="0.2">
      <c r="B11" s="66" t="s">
        <v>170</v>
      </c>
      <c r="C11" s="17"/>
    </row>
    <row r="12" spans="1:12" ht="24.95" customHeight="1" x14ac:dyDescent="0.2"/>
    <row r="13" spans="1:12" ht="19.899999999999999" customHeight="1" x14ac:dyDescent="0.2">
      <c r="B13" s="4" t="s">
        <v>0</v>
      </c>
      <c r="C13" s="4" t="s">
        <v>201</v>
      </c>
      <c r="E13" s="3"/>
    </row>
    <row r="14" spans="1:12" ht="15" customHeight="1" x14ac:dyDescent="0.2">
      <c r="B14" s="34" t="s">
        <v>177</v>
      </c>
      <c r="E14" s="3"/>
    </row>
    <row r="15" spans="1:12" ht="15" customHeight="1" x14ac:dyDescent="0.2">
      <c r="B15" s="34" t="s">
        <v>314</v>
      </c>
      <c r="E15" s="3"/>
    </row>
    <row r="16" spans="1:12" ht="15" customHeight="1" x14ac:dyDescent="0.2">
      <c r="B16" s="34" t="s">
        <v>315</v>
      </c>
      <c r="E16" s="3"/>
    </row>
    <row r="17" spans="2:14" ht="15" customHeight="1" x14ac:dyDescent="0.2">
      <c r="B17" s="5" t="s">
        <v>316</v>
      </c>
      <c r="C17" s="3"/>
      <c r="E17" s="3"/>
    </row>
    <row r="18" spans="2:14" ht="15" customHeight="1" x14ac:dyDescent="0.2">
      <c r="B18" s="5" t="s">
        <v>148</v>
      </c>
      <c r="C18" s="3"/>
      <c r="E18" s="3"/>
    </row>
    <row r="19" spans="2:14" ht="15" customHeight="1" x14ac:dyDescent="0.2"/>
    <row r="20" spans="2:14" ht="90" customHeight="1" x14ac:dyDescent="0.2">
      <c r="B20" s="70" t="s">
        <v>171</v>
      </c>
      <c r="C20" s="70" t="s">
        <v>172</v>
      </c>
      <c r="D20" s="70" t="s">
        <v>173</v>
      </c>
      <c r="E20" s="70" t="s">
        <v>329</v>
      </c>
      <c r="F20" s="70" t="s">
        <v>308</v>
      </c>
      <c r="G20" s="70" t="s">
        <v>310</v>
      </c>
      <c r="H20" s="70" t="s">
        <v>313</v>
      </c>
      <c r="I20" s="70" t="s">
        <v>330</v>
      </c>
      <c r="J20" s="70" t="s">
        <v>319</v>
      </c>
      <c r="K20" s="70" t="s">
        <v>311</v>
      </c>
      <c r="L20" s="70" t="s">
        <v>312</v>
      </c>
      <c r="M20" s="70" t="s">
        <v>325</v>
      </c>
      <c r="N20" s="70" t="s">
        <v>326</v>
      </c>
    </row>
    <row r="21" spans="2:14" ht="15" customHeight="1" x14ac:dyDescent="0.2">
      <c r="B21" s="71" t="s">
        <v>200</v>
      </c>
      <c r="C21" s="71" t="s">
        <v>202</v>
      </c>
      <c r="D21" s="71" t="s">
        <v>203</v>
      </c>
      <c r="E21" s="72">
        <f>'Kal Unter GS Pannwitz'!L21</f>
        <v>191.33</v>
      </c>
      <c r="F21" s="42">
        <f ca="1">'Kal Unter GS Pannwitz'!Q21</f>
        <v>0</v>
      </c>
      <c r="G21" s="42">
        <f>'Kal Grund GS Pannwitz'!Q21</f>
        <v>0</v>
      </c>
      <c r="H21" s="73"/>
      <c r="I21" s="73"/>
      <c r="J21" s="42">
        <f>SUMIF('Kal Verbrauch Gesamt'!$B$5:$B23,$B$21,'Kal Verbrauch Gesamt'!$G$5:$G23)</f>
        <v>0</v>
      </c>
      <c r="K21" s="42">
        <f ca="1">'Kal Unter Bed GS Pannwitz'!Q21</f>
        <v>0</v>
      </c>
      <c r="L21" s="42">
        <f>'Kal Grund Bed GS Pannwitz'!Q21</f>
        <v>0</v>
      </c>
      <c r="M21" s="74">
        <f ca="1">ROUND(SUM($F$21:$L$21),2)</f>
        <v>0</v>
      </c>
      <c r="N21" s="74">
        <f ca="1">ROUND($M$21* 1.19,2)</f>
        <v>0</v>
      </c>
    </row>
    <row r="22" spans="2:14" ht="15" customHeight="1" x14ac:dyDescent="0.2">
      <c r="B22" s="71" t="s">
        <v>207</v>
      </c>
      <c r="C22" s="71" t="s">
        <v>202</v>
      </c>
      <c r="D22" s="71" t="s">
        <v>208</v>
      </c>
      <c r="E22" s="72">
        <f>'Kal Unter SH Pannwitz'!L21</f>
        <v>209.33</v>
      </c>
      <c r="F22" s="42">
        <f ca="1">'Kal Unter SH Pannwitz'!Q21</f>
        <v>0</v>
      </c>
      <c r="G22" s="42">
        <f>'Kal Grund SH Pannwitz'!Q21</f>
        <v>0</v>
      </c>
      <c r="H22" s="42">
        <f>SUMIF('Kal Matten Gesamt'!$B$6:$B6,$B$22,'Kal Matten Gesamt'!$K$6:$K6)</f>
        <v>0</v>
      </c>
      <c r="I22" s="42">
        <f>'Kal Ballw u Harzentfernung'!$E$5</f>
        <v>0</v>
      </c>
      <c r="J22" s="42">
        <f>SUMIF('Kal Verbrauch Gesamt'!$B$5:$B23,$B$22,'Kal Verbrauch Gesamt'!$G$5:$G23)</f>
        <v>0</v>
      </c>
      <c r="K22" s="42">
        <f ca="1">'Kal Unter Bed SH Pannwitz'!Q21</f>
        <v>0</v>
      </c>
      <c r="L22" s="73"/>
      <c r="M22" s="74">
        <f ca="1">ROUND(SUM($F$22:$L$22),2)</f>
        <v>0</v>
      </c>
      <c r="N22" s="74">
        <f ca="1">ROUND($M$22* 1.19,2)</f>
        <v>0</v>
      </c>
    </row>
    <row r="23" spans="2:14" ht="15" customHeight="1" x14ac:dyDescent="0.2">
      <c r="B23" s="71" t="s">
        <v>210</v>
      </c>
      <c r="C23" s="71" t="s">
        <v>211</v>
      </c>
      <c r="D23" s="71" t="s">
        <v>212</v>
      </c>
      <c r="E23" s="75"/>
      <c r="F23" s="73"/>
      <c r="G23" s="73"/>
      <c r="H23" s="73"/>
      <c r="I23" s="73"/>
      <c r="J23" s="42">
        <f>SUMIF('Kal Verbrauch Gesamt'!$B$5:$B23,$B$23,'Kal Verbrauch Gesamt'!$G$5:$G23)</f>
        <v>0</v>
      </c>
      <c r="K23" s="42">
        <f ca="1">'Kal Unter Bed Sportplatz'!Q21</f>
        <v>0</v>
      </c>
      <c r="L23" s="42">
        <f>'Kal Grund Bed Sportplatz'!Q21</f>
        <v>0</v>
      </c>
      <c r="M23" s="74">
        <f ca="1">ROUND(SUM($F$23:$L$23),2)</f>
        <v>0</v>
      </c>
      <c r="N23" s="74">
        <f ca="1">ROUND($M$23* 1.19,2)</f>
        <v>0</v>
      </c>
    </row>
    <row r="24" spans="2:14" ht="15" customHeight="1" x14ac:dyDescent="0.2"/>
    <row r="25" spans="2:14" ht="15" customHeight="1" x14ac:dyDescent="0.2"/>
    <row r="26" spans="2:14" ht="15" customHeight="1" x14ac:dyDescent="0.2"/>
    <row r="27" spans="2:14" ht="15" customHeight="1" x14ac:dyDescent="0.2"/>
    <row r="28" spans="2:14" ht="15" customHeight="1" x14ac:dyDescent="0.2"/>
    <row r="29" spans="2:14" ht="15" customHeight="1" x14ac:dyDescent="0.2"/>
    <row r="30" spans="2:14" ht="15" customHeight="1" x14ac:dyDescent="0.2"/>
    <row r="31" spans="2:14" ht="15" customHeight="1" x14ac:dyDescent="0.2"/>
    <row r="32" spans="2: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vd7UJM642Vdaq0JKudkk3hZWTuHSFB5w+QGCan9hKfZv7eAoH8ZqcIEPKNBEnDIHr7tcTNV6wLjJpzp1Ugf/IA==" saltValue="I/SJecYR8sFODIovNAIYQQ==" spinCount="100000" sheet="1" objects="1" scenarios="1"/>
  <mergeCells count="2">
    <mergeCell ref="I2:L6"/>
    <mergeCell ref="G2:H2"/>
  </mergeCells>
  <phoneticPr fontId="3" type="noConversion"/>
  <hyperlinks>
    <hyperlink ref="B14" location="'Preisübersicht'!A1" display="Preisübersicht" xr:uid="{A55A0CFC-D1E0-4C1D-90CF-AEE954EB7FBC}"/>
    <hyperlink ref="B15" location="'Preisübersicht (nach Bedarf)'!A1" display="Preisübersicht (nach Bedarf)" xr:uid="{6F077DD7-F37B-45AA-90FB-C1E0827FA17A}"/>
    <hyperlink ref="B16" location="'SVS UnterhaltsRG'!A1" display="SVS UnterhaltsRG" xr:uid="{2D6997A8-A53B-4FB5-B9EA-4A46C4DEE505}"/>
    <hyperlink ref="B17" location="'SVS GrundRG'!A1" display="SVS GrundRG" xr:uid="{0EBC38F7-08A3-479E-B78B-5F4D80A5DB99}"/>
    <hyperlink ref="B18" location="'Reinigungstage'!A1" display="Reinigungstage" xr:uid="{E40EDDD3-5C50-4E61-9E6F-23B8CBD27061}"/>
    <hyperlink ref="F21" location="'Kal Unter GS Pannwitz'!$Q$21" display="'Kal Unter GS Pannwitz'!$Q$21" xr:uid="{FCE765A2-8BA6-40DB-AABB-566C89A5F463}"/>
    <hyperlink ref="F22" location="'Kal Unter SH Pannwitz'!$Q$21" display="'Kal Unter SH Pannwitz'!$Q$21" xr:uid="{B8F62E52-B512-4E14-8D0A-6B64B72A089E}"/>
    <hyperlink ref="G21" location="'Kal Grund GS Pannwitz'!$Q$21" display="'Kal Grund GS Pannwitz'!$Q$21" xr:uid="{B8D82C12-9C9C-4549-BFE8-D04D6897F051}"/>
    <hyperlink ref="G22" location="'Kal Grund SH Pannwitz'!$Q$21" display="'Kal Grund SH Pannwitz'!$Q$21" xr:uid="{EF7B7C53-B8A9-48A0-80C1-B3935CD909F1}"/>
    <hyperlink ref="H22" location="'Kal Matten Gesamt'!K6" display="'Kal Matten Gesamt'!K6" xr:uid="{5BC0DCB8-6358-4144-BC91-8444331C614B}"/>
    <hyperlink ref="J21" location="'Kal Verbrauch Gesamt'!G5:G10" display="'Kal Verbrauch Gesamt'!G5:G10" xr:uid="{BFDF622C-64D2-4EE3-8541-C515DB50A12E}"/>
    <hyperlink ref="J22" location="'Kal Verbrauch Gesamt'!G11:G17" display="'Kal Verbrauch Gesamt'!G11:G17" xr:uid="{898A145D-BDBD-4348-B51D-D69EBD24E738}"/>
    <hyperlink ref="J23" location="'Kal Verbrauch Gesamt'!G18:G23" display="'Kal Verbrauch Gesamt'!G18:G23" xr:uid="{9D8A0443-E7D1-4FD4-AF3F-F775A5D00A3B}"/>
    <hyperlink ref="K21" location="'Kal Unter Bed GS Pannwitz'!$Q$21" display="'Kal Unter Bed GS Pannwitz'!$Q$21" xr:uid="{257E7164-37CD-4467-8210-B62C138C946A}"/>
    <hyperlink ref="K22" location="'Kal Unter Bed SH Pannwitz'!$Q$21" display="'Kal Unter Bed SH Pannwitz'!$Q$21" xr:uid="{120405FE-A4B2-45C8-A7B4-A31C36A0B75A}"/>
    <hyperlink ref="K23" location="'Kal Unter Bed Sportplatz'!$Q$21" display="'Kal Unter Bed Sportplatz'!$Q$21" xr:uid="{95304A5A-4219-4780-9577-C432ED85636E}"/>
    <hyperlink ref="L21" location="'Kal Grund Bed GS Pannwitz'!$Q$21" display="'Kal Grund Bed GS Pannwitz'!$Q$21" xr:uid="{BDAA96A8-B0FE-4416-B2CB-6402115752CC}"/>
    <hyperlink ref="L23" location="'Kal Grund Bed Sportplatz'!$Q$21" display="'Kal Grund Bed Sportplatz'!$Q$21" xr:uid="{A2BB387C-F371-4B39-BB62-6CCBA78D67A2}"/>
    <hyperlink ref="I22" location="'Kal Ballw u Harzentfernung'!E5" display="'Kal Ballw u Harzentfernung'!E5" xr:uid="{202BF5A5-8D4C-4129-A002-DEACC2E6C9A9}"/>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&amp;N&amp;RInhaltsverzeichnis</oddFooter>
  </headerFooter>
  <rowBreaks count="1" manualBreakCount="1">
    <brk id="23" max="16383" man="1"/>
  </rowBreaks>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7D99-9B47-4CBE-92C9-684C266089BC}">
  <sheetPr codeName="Tabelle33">
    <tabColor indexed="40"/>
  </sheetPr>
  <dimension ref="A1:V4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7" t="s">
        <v>151</v>
      </c>
      <c r="B2" s="158"/>
      <c r="C2" s="158"/>
      <c r="D2" s="158" t="b">
        <v>0</v>
      </c>
      <c r="E2" s="159"/>
      <c r="G2" s="160" t="s">
        <v>164</v>
      </c>
      <c r="H2" s="160" t="s">
        <v>156</v>
      </c>
      <c r="I2" s="160" t="s">
        <v>157</v>
      </c>
      <c r="J2" s="160" t="s">
        <v>176</v>
      </c>
      <c r="M2" s="21"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1" customHeight="1" x14ac:dyDescent="0.2">
      <c r="A3" s="93" t="s">
        <v>152</v>
      </c>
      <c r="B3" s="94"/>
      <c r="C3" s="94"/>
      <c r="D3" s="94"/>
      <c r="E3" s="95"/>
      <c r="G3" s="161"/>
      <c r="H3" s="161" t="b">
        <v>0</v>
      </c>
      <c r="I3" s="161"/>
      <c r="J3" s="161"/>
      <c r="M3" s="21" t="b">
        <v>0</v>
      </c>
      <c r="N3" s="132"/>
      <c r="O3" s="132"/>
      <c r="P3" s="132"/>
      <c r="Q3" s="132"/>
    </row>
    <row r="4" spans="1:22" ht="15" customHeight="1" x14ac:dyDescent="0.2">
      <c r="A4" s="155" t="s">
        <v>91</v>
      </c>
      <c r="B4" s="165" t="str">
        <f>IF(Inhaltsverzeichnis!C3="","",Inhaltsverzeichnis!C3)</f>
        <v/>
      </c>
      <c r="C4" s="166"/>
      <c r="D4" s="166"/>
      <c r="E4" s="167"/>
      <c r="G4" s="96" t="s">
        <v>237</v>
      </c>
      <c r="H4" s="97"/>
      <c r="I4" s="98">
        <f ca="1">SUMIF('Kal Unter SH Pannwitz'!J22:M47,$G$4,'Kal Unter SH Pannwitz'!M22:M47)</f>
        <v>0</v>
      </c>
      <c r="J4" s="69">
        <f>COUNTIFS('Kal Unter SH Pannwitz'!J22:M47,$G$4)</f>
        <v>1</v>
      </c>
      <c r="M4" s="21" t="b">
        <v>0</v>
      </c>
      <c r="N4" s="132"/>
      <c r="O4" s="132"/>
      <c r="P4" s="132"/>
      <c r="Q4" s="132"/>
      <c r="U4" s="96" t="s">
        <v>237</v>
      </c>
      <c r="V4" s="3">
        <v>195</v>
      </c>
    </row>
    <row r="5" spans="1:22" ht="15" customHeight="1" x14ac:dyDescent="0.2">
      <c r="A5" s="156"/>
      <c r="B5" s="168"/>
      <c r="C5" s="169"/>
      <c r="D5" s="169"/>
      <c r="E5" s="170"/>
      <c r="G5" s="96" t="s">
        <v>261</v>
      </c>
      <c r="H5" s="97"/>
      <c r="I5" s="98">
        <f ca="1">SUMIF('Kal Unter SH Pannwitz'!J22:M47,$G$5,'Kal Unter SH Pannwitz'!M22:M47)</f>
        <v>2026.74</v>
      </c>
      <c r="J5" s="69">
        <f>COUNTIFS('Kal Unter SH Pannwitz'!J22:M47,$G$5)</f>
        <v>2</v>
      </c>
      <c r="M5" s="21" t="b">
        <v>0</v>
      </c>
      <c r="N5" s="132"/>
      <c r="O5" s="132"/>
      <c r="P5" s="132"/>
      <c r="Q5" s="132"/>
      <c r="U5" s="96" t="s">
        <v>261</v>
      </c>
      <c r="V5" s="3">
        <v>215</v>
      </c>
    </row>
    <row r="6" spans="1:22" ht="15" customHeight="1" x14ac:dyDescent="0.2">
      <c r="A6" s="99" t="s">
        <v>174</v>
      </c>
      <c r="B6" s="171" t="s">
        <v>201</v>
      </c>
      <c r="C6" s="172"/>
      <c r="D6" s="172"/>
      <c r="E6" s="173"/>
      <c r="G6" s="96" t="s">
        <v>259</v>
      </c>
      <c r="H6" s="97"/>
      <c r="I6" s="98">
        <f ca="1">SUMIF('Kal Unter SH Pannwitz'!J22:M47,$G$6,'Kal Unter SH Pannwitz'!M22:M47)</f>
        <v>12877.990000000003</v>
      </c>
      <c r="J6" s="69">
        <f>COUNTIFS('Kal Unter SH Pannwitz'!J22:M47,$G$6)</f>
        <v>12</v>
      </c>
      <c r="U6" s="96" t="s">
        <v>259</v>
      </c>
      <c r="V6" s="3">
        <v>75</v>
      </c>
    </row>
    <row r="7" spans="1:22" ht="15" customHeight="1" x14ac:dyDescent="0.2">
      <c r="A7" s="100" t="s">
        <v>172</v>
      </c>
      <c r="B7" s="174" t="s">
        <v>202</v>
      </c>
      <c r="C7" s="172"/>
      <c r="D7" s="172"/>
      <c r="E7" s="173"/>
      <c r="G7" s="96" t="s">
        <v>283</v>
      </c>
      <c r="H7" s="97"/>
      <c r="I7" s="98">
        <f ca="1">SUMIF('Kal Unter SH Pannwitz'!J22:M47,$G$7,'Kal Unter SH Pannwitz'!M22:M47)</f>
        <v>219963.96</v>
      </c>
      <c r="J7" s="69">
        <f>COUNTIFS('Kal Unter SH Pannwitz'!J22:M47,$G$7)</f>
        <v>1</v>
      </c>
      <c r="U7" s="96" t="s">
        <v>283</v>
      </c>
      <c r="V7" s="3">
        <v>450</v>
      </c>
    </row>
    <row r="8" spans="1:22" ht="15" customHeight="1" x14ac:dyDescent="0.2">
      <c r="A8" s="100" t="s">
        <v>173</v>
      </c>
      <c r="B8" s="171" t="s">
        <v>208</v>
      </c>
      <c r="C8" s="172"/>
      <c r="D8" s="172"/>
      <c r="E8" s="173"/>
      <c r="G8" s="96" t="s">
        <v>262</v>
      </c>
      <c r="H8" s="97"/>
      <c r="I8" s="98">
        <f ca="1">SUMIF('Kal Unter SH Pannwitz'!J22:M47,$G$8,'Kal Unter SH Pannwitz'!M22:M47)</f>
        <v>55</v>
      </c>
      <c r="J8" s="69">
        <f>COUNTIFS('Kal Unter SH Pannwitz'!J22:M47,$G$8)</f>
        <v>4</v>
      </c>
      <c r="U8" s="96" t="s">
        <v>262</v>
      </c>
      <c r="V8" s="3">
        <v>300</v>
      </c>
    </row>
    <row r="9" spans="1:22" ht="15" customHeight="1" x14ac:dyDescent="0.2">
      <c r="A9" s="99" t="s">
        <v>171</v>
      </c>
      <c r="B9" s="175" t="s">
        <v>207</v>
      </c>
      <c r="C9" s="172"/>
      <c r="D9" s="172"/>
      <c r="E9" s="173"/>
      <c r="G9" s="96" t="s">
        <v>273</v>
      </c>
      <c r="H9" s="97"/>
      <c r="I9" s="98">
        <f ca="1">SUMIF('Kal Unter SH Pannwitz'!J22:M47,$G$9,'Kal Unter SH Pannwitz'!M22:M47)</f>
        <v>15329.240000000002</v>
      </c>
      <c r="J9" s="69">
        <f>COUNTIFS('Kal Unter SH Pannwitz'!J22:M47,$G$9)</f>
        <v>4</v>
      </c>
      <c r="U9" s="96" t="s">
        <v>273</v>
      </c>
      <c r="V9" s="3">
        <v>220</v>
      </c>
    </row>
    <row r="10" spans="1:22" ht="15" customHeight="1" x14ac:dyDescent="0.2">
      <c r="A10" s="100" t="s">
        <v>153</v>
      </c>
      <c r="B10" s="171" t="s">
        <v>204</v>
      </c>
      <c r="C10" s="172"/>
      <c r="D10" s="172"/>
      <c r="E10" s="173"/>
      <c r="G10" s="96" t="s">
        <v>260</v>
      </c>
      <c r="H10" s="97"/>
      <c r="I10" s="98">
        <f ca="1">SUMIF('Kal Unter SH Pannwitz'!J22:M47,$G$10,'Kal Unter SH Pannwitz'!M22:M47)</f>
        <v>8113.6299999999992</v>
      </c>
      <c r="J10" s="69">
        <f>COUNTIFS('Kal Unter SH Pannwitz'!J22:M47,$G$10)</f>
        <v>2</v>
      </c>
      <c r="U10" s="96" t="s">
        <v>260</v>
      </c>
      <c r="V10" s="3">
        <v>450</v>
      </c>
    </row>
    <row r="11" spans="1:22" ht="15" customHeight="1" x14ac:dyDescent="0.2">
      <c r="A11" s="100" t="s">
        <v>154</v>
      </c>
      <c r="B11" s="176" t="s">
        <v>205</v>
      </c>
      <c r="C11" s="172"/>
      <c r="D11" s="172"/>
      <c r="E11" s="173"/>
      <c r="M11" s="3" t="str">
        <f>IF(N13&gt;0,"Bitte die Leistungswerte im Leistungsverzeichnis/ Tabellenblatt Leistungsrichtwerte","")</f>
        <v/>
      </c>
    </row>
    <row r="12" spans="1:22" ht="15" customHeight="1" x14ac:dyDescent="0.2">
      <c r="A12" s="100" t="s">
        <v>155</v>
      </c>
      <c r="B12" s="171" t="s">
        <v>206</v>
      </c>
      <c r="C12" s="172"/>
      <c r="D12" s="172"/>
      <c r="E12" s="173"/>
      <c r="M12" s="3" t="str">
        <f>IF(N13&gt;0,"für die Objektart prüfen.","")</f>
        <v/>
      </c>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c r="N13" s="101">
        <f>COUNTIF(V22:V$47,1)</f>
        <v>0</v>
      </c>
      <c r="O13" s="3" t="str">
        <f>IF(N13&gt;0,"Wert(e) überschritten, bitte mit dem Angebot plausibel darlegen.","")</f>
        <v/>
      </c>
    </row>
    <row r="14" spans="1:22" ht="15" customHeight="1" x14ac:dyDescent="0.2">
      <c r="N14" s="102">
        <f>COUNTIF(V22:V$47,0)</f>
        <v>26</v>
      </c>
      <c r="O14" s="3" t="str">
        <f>IF(N14&gt;0,"Wert(e) korrekt","")</f>
        <v>Wert(e) korrekt</v>
      </c>
      <c r="T14" s="103">
        <f>IF(COUNTA($T$22:$T$47)-COUNTBLANK($T$22:$T$47)=0,"",COUNTA($T$22:$T$47)-COUNTBLANK($T$22:$T$47))</f>
        <v>22</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135</v>
      </c>
      <c r="M20" s="1" t="s">
        <v>109</v>
      </c>
      <c r="N20" s="1" t="s">
        <v>105</v>
      </c>
      <c r="O20" s="1" t="s">
        <v>110</v>
      </c>
      <c r="P20" s="1" t="s">
        <v>111</v>
      </c>
      <c r="Q20" s="1" t="s">
        <v>112</v>
      </c>
      <c r="R20" s="1" t="s">
        <v>175</v>
      </c>
      <c r="S20" s="1" t="s">
        <v>134</v>
      </c>
    </row>
    <row r="21" spans="1:22" ht="29.1" customHeight="1" x14ac:dyDescent="0.2">
      <c r="A21" s="104" t="s">
        <v>119</v>
      </c>
      <c r="B21" s="12"/>
      <c r="C21" s="12"/>
      <c r="D21" s="12"/>
      <c r="E21" s="12"/>
      <c r="F21" s="12"/>
      <c r="G21" s="105">
        <f>SUM($G$22:$G$47)</f>
        <v>1652.5800000000004</v>
      </c>
      <c r="H21" s="105">
        <f>SUM($H$22:$H$47)</f>
        <v>0</v>
      </c>
      <c r="I21" s="105">
        <f>SUM($I$22:$I$47)</f>
        <v>3</v>
      </c>
      <c r="J21" s="43"/>
      <c r="K21" s="43"/>
      <c r="L21" s="106">
        <f>MAX(L22:L47)</f>
        <v>209.33</v>
      </c>
      <c r="M21" s="105">
        <f>SUM($M$22:$M$47)</f>
        <v>258366.55999999997</v>
      </c>
      <c r="N21" s="43"/>
      <c r="O21" s="43"/>
      <c r="P21" s="105">
        <f>SUM($P$22:$P$47)</f>
        <v>0</v>
      </c>
      <c r="Q21" s="105">
        <f ca="1">SUM($Q$22:$Q$47)</f>
        <v>0</v>
      </c>
      <c r="R21" s="105">
        <f>ROUND(IF(L21=0,0,P21/L21),2)</f>
        <v>0</v>
      </c>
      <c r="S21" s="105">
        <f ca="1">ROUND(IF(L21=0,0,Q21/L21),2)</f>
        <v>0</v>
      </c>
    </row>
    <row r="22" spans="1:22" ht="15" customHeight="1" x14ac:dyDescent="0.2">
      <c r="A22" s="96">
        <v>1</v>
      </c>
      <c r="B22" s="107"/>
      <c r="C22" s="108" t="s">
        <v>233</v>
      </c>
      <c r="D22" s="108"/>
      <c r="E22" s="108" t="s">
        <v>264</v>
      </c>
      <c r="F22" s="108" t="s">
        <v>265</v>
      </c>
      <c r="G22" s="109">
        <v>1050.8</v>
      </c>
      <c r="H22" s="109"/>
      <c r="I22" s="109"/>
      <c r="J22" s="96" t="s">
        <v>283</v>
      </c>
      <c r="K22" s="109">
        <v>5</v>
      </c>
      <c r="L22" s="43">
        <f>VLOOKUP(K22,Reinigungstage!A10:C31,3,FALSE)</f>
        <v>209.33</v>
      </c>
      <c r="M22" s="43">
        <f t="shared" ref="M22:M47" si="0">ROUND(IF(L22=0,0,L22*G22),2)</f>
        <v>219963.96</v>
      </c>
      <c r="N22" s="110">
        <f t="shared" ref="N22:N47" si="1">VLOOKUP(J22,$G$4:$H$10,2,FALSE)</f>
        <v>0</v>
      </c>
      <c r="O22" s="43">
        <f ca="1">IF('SVS UnterhaltsRG'!H61="",0,'SVS UnterhaltsRG'!H61)</f>
        <v>0</v>
      </c>
      <c r="P22" s="43">
        <f t="shared" ref="P22:P47" si="2">ROUND(IF(N22=0,0,M22/N22),2)</f>
        <v>0</v>
      </c>
      <c r="Q22" s="43">
        <f t="shared" ref="Q22:Q47" ca="1" si="3">IF(M22=0,0,IF(O22="",0,ROUND(P22*O22,2)))</f>
        <v>0</v>
      </c>
      <c r="R22" s="43">
        <f t="shared" ref="R22:R47" si="4">ROUND(IF(P22=0,0,P22/L22),2)</f>
        <v>0</v>
      </c>
      <c r="S22" s="43">
        <f t="shared" ref="S22:S47" ca="1" si="5">ROUND(IF(Q22=0,0,Q22/L22),2)</f>
        <v>0</v>
      </c>
      <c r="T22" s="3" t="str">
        <f t="shared" ref="T22:T47" si="6">IF(M22=0,"",IF(N22=0,"Leistungswert eintragen",IF(O22=0,"SVS prüfen","")))</f>
        <v>Leistungswert eintragen</v>
      </c>
      <c r="U22" s="3">
        <f t="shared" ref="U22:U47" si="7">VLOOKUP(J22,$U$4:$V$10,2,FALSE)</f>
        <v>450</v>
      </c>
      <c r="V22" s="3">
        <f t="shared" ref="V22:V47" si="8">IF(M22=0,0,IF(U22&lt;N22,1,IF(U22&gt;=N22,0,"")))</f>
        <v>0</v>
      </c>
    </row>
    <row r="23" spans="1:22" ht="15" customHeight="1" x14ac:dyDescent="0.2">
      <c r="A23" s="96">
        <v>2</v>
      </c>
      <c r="B23" s="107"/>
      <c r="C23" s="108" t="s">
        <v>233</v>
      </c>
      <c r="D23" s="108"/>
      <c r="E23" s="108" t="s">
        <v>266</v>
      </c>
      <c r="F23" s="108" t="s">
        <v>231</v>
      </c>
      <c r="G23" s="109">
        <v>260.47000000000003</v>
      </c>
      <c r="H23" s="109"/>
      <c r="I23" s="109"/>
      <c r="J23" s="96" t="s">
        <v>262</v>
      </c>
      <c r="K23" s="109">
        <v>0</v>
      </c>
      <c r="L23" s="43">
        <f>VLOOKUP(K23,Reinigungstage!A10:C31,3,FALSE)</f>
        <v>0</v>
      </c>
      <c r="M23" s="43">
        <f t="shared" si="0"/>
        <v>0</v>
      </c>
      <c r="N23" s="110">
        <f t="shared" si="1"/>
        <v>0</v>
      </c>
      <c r="O23" s="43">
        <f ca="1">IF('SVS UnterhaltsRG'!H61="",0,'SVS UnterhaltsRG'!H61)</f>
        <v>0</v>
      </c>
      <c r="P23" s="43">
        <f t="shared" si="2"/>
        <v>0</v>
      </c>
      <c r="Q23" s="43">
        <f t="shared" si="3"/>
        <v>0</v>
      </c>
      <c r="R23" s="43">
        <f t="shared" si="4"/>
        <v>0</v>
      </c>
      <c r="S23" s="43">
        <f t="shared" si="5"/>
        <v>0</v>
      </c>
      <c r="T23" s="3" t="str">
        <f t="shared" si="6"/>
        <v/>
      </c>
      <c r="U23" s="3">
        <f t="shared" si="7"/>
        <v>300</v>
      </c>
      <c r="V23" s="3">
        <f t="shared" si="8"/>
        <v>0</v>
      </c>
    </row>
    <row r="24" spans="1:22" ht="15" customHeight="1" x14ac:dyDescent="0.2">
      <c r="A24" s="96">
        <v>3</v>
      </c>
      <c r="B24" s="107"/>
      <c r="C24" s="108" t="s">
        <v>233</v>
      </c>
      <c r="D24" s="108"/>
      <c r="E24" s="108" t="s">
        <v>267</v>
      </c>
      <c r="F24" s="108" t="s">
        <v>218</v>
      </c>
      <c r="G24" s="109">
        <v>75.41</v>
      </c>
      <c r="H24" s="109"/>
      <c r="I24" s="109"/>
      <c r="J24" s="96" t="s">
        <v>262</v>
      </c>
      <c r="K24" s="109">
        <v>0</v>
      </c>
      <c r="L24" s="43">
        <f>VLOOKUP(K24,Reinigungstage!A10:C31,3,FALSE)</f>
        <v>0</v>
      </c>
      <c r="M24" s="43">
        <f t="shared" si="0"/>
        <v>0</v>
      </c>
      <c r="N24" s="110">
        <f t="shared" si="1"/>
        <v>0</v>
      </c>
      <c r="O24" s="43">
        <f ca="1">IF('SVS UnterhaltsRG'!H61="",0,'SVS UnterhaltsRG'!H61)</f>
        <v>0</v>
      </c>
      <c r="P24" s="43">
        <f t="shared" si="2"/>
        <v>0</v>
      </c>
      <c r="Q24" s="43">
        <f t="shared" si="3"/>
        <v>0</v>
      </c>
      <c r="R24" s="43">
        <f t="shared" si="4"/>
        <v>0</v>
      </c>
      <c r="S24" s="43">
        <f t="shared" si="5"/>
        <v>0</v>
      </c>
      <c r="T24" s="3" t="str">
        <f t="shared" si="6"/>
        <v/>
      </c>
      <c r="U24" s="3">
        <f t="shared" si="7"/>
        <v>300</v>
      </c>
      <c r="V24" s="3">
        <f t="shared" si="8"/>
        <v>0</v>
      </c>
    </row>
    <row r="25" spans="1:22" ht="15" customHeight="1" x14ac:dyDescent="0.2">
      <c r="A25" s="96">
        <v>4</v>
      </c>
      <c r="B25" s="107"/>
      <c r="C25" s="108" t="s">
        <v>233</v>
      </c>
      <c r="D25" s="108"/>
      <c r="E25" s="108" t="s">
        <v>268</v>
      </c>
      <c r="F25" s="108" t="s">
        <v>218</v>
      </c>
      <c r="G25" s="109">
        <v>21.16</v>
      </c>
      <c r="H25" s="109"/>
      <c r="I25" s="109"/>
      <c r="J25" s="96" t="s">
        <v>261</v>
      </c>
      <c r="K25" s="96" t="s">
        <v>137</v>
      </c>
      <c r="L25" s="43">
        <f>VLOOKUP(K25,Reinigungstage!A10:C31,3,FALSE)</f>
        <v>11</v>
      </c>
      <c r="M25" s="43">
        <f t="shared" si="0"/>
        <v>232.76</v>
      </c>
      <c r="N25" s="110">
        <f t="shared" si="1"/>
        <v>0</v>
      </c>
      <c r="O25" s="43">
        <f ca="1">IF('SVS UnterhaltsRG'!H61="",0,'SVS UnterhaltsRG'!H61)</f>
        <v>0</v>
      </c>
      <c r="P25" s="43">
        <f t="shared" si="2"/>
        <v>0</v>
      </c>
      <c r="Q25" s="43">
        <f t="shared" ca="1" si="3"/>
        <v>0</v>
      </c>
      <c r="R25" s="43">
        <f t="shared" si="4"/>
        <v>0</v>
      </c>
      <c r="S25" s="43">
        <f t="shared" ca="1" si="5"/>
        <v>0</v>
      </c>
      <c r="T25" s="3" t="str">
        <f t="shared" si="6"/>
        <v>Leistungswert eintragen</v>
      </c>
      <c r="U25" s="3">
        <f t="shared" si="7"/>
        <v>215</v>
      </c>
      <c r="V25" s="3">
        <f t="shared" si="8"/>
        <v>0</v>
      </c>
    </row>
    <row r="26" spans="1:22" ht="15" customHeight="1" x14ac:dyDescent="0.2">
      <c r="A26" s="96">
        <v>5</v>
      </c>
      <c r="B26" s="107"/>
      <c r="C26" s="108" t="s">
        <v>233</v>
      </c>
      <c r="D26" s="108"/>
      <c r="E26" s="108" t="s">
        <v>267</v>
      </c>
      <c r="F26" s="108" t="s">
        <v>218</v>
      </c>
      <c r="G26" s="109">
        <v>21.54</v>
      </c>
      <c r="H26" s="109"/>
      <c r="I26" s="109"/>
      <c r="J26" s="96" t="s">
        <v>262</v>
      </c>
      <c r="K26" s="109">
        <v>0</v>
      </c>
      <c r="L26" s="43">
        <f>VLOOKUP(K26,Reinigungstage!A10:C31,3,FALSE)</f>
        <v>0</v>
      </c>
      <c r="M26" s="43">
        <f t="shared" si="0"/>
        <v>0</v>
      </c>
      <c r="N26" s="110">
        <f t="shared" si="1"/>
        <v>0</v>
      </c>
      <c r="O26" s="43">
        <f ca="1">IF('SVS UnterhaltsRG'!H61="",0,'SVS UnterhaltsRG'!H61)</f>
        <v>0</v>
      </c>
      <c r="P26" s="43">
        <f t="shared" si="2"/>
        <v>0</v>
      </c>
      <c r="Q26" s="43">
        <f t="shared" si="3"/>
        <v>0</v>
      </c>
      <c r="R26" s="43">
        <f t="shared" si="4"/>
        <v>0</v>
      </c>
      <c r="S26" s="43">
        <f t="shared" si="5"/>
        <v>0</v>
      </c>
      <c r="T26" s="3" t="str">
        <f t="shared" si="6"/>
        <v/>
      </c>
      <c r="U26" s="3">
        <f t="shared" si="7"/>
        <v>300</v>
      </c>
      <c r="V26" s="3">
        <f t="shared" si="8"/>
        <v>0</v>
      </c>
    </row>
    <row r="27" spans="1:22" ht="15" customHeight="1" x14ac:dyDescent="0.2">
      <c r="A27" s="96">
        <v>6</v>
      </c>
      <c r="B27" s="107"/>
      <c r="C27" s="108" t="s">
        <v>233</v>
      </c>
      <c r="D27" s="108"/>
      <c r="E27" s="108" t="s">
        <v>269</v>
      </c>
      <c r="F27" s="108" t="s">
        <v>218</v>
      </c>
      <c r="G27" s="109">
        <v>41.26</v>
      </c>
      <c r="H27" s="109"/>
      <c r="I27" s="109">
        <v>2</v>
      </c>
      <c r="J27" s="96" t="s">
        <v>261</v>
      </c>
      <c r="K27" s="109">
        <v>1</v>
      </c>
      <c r="L27" s="43">
        <f>VLOOKUP(K27,Reinigungstage!A10:C31,3,FALSE)</f>
        <v>43.48</v>
      </c>
      <c r="M27" s="43">
        <f t="shared" si="0"/>
        <v>1793.98</v>
      </c>
      <c r="N27" s="110">
        <f t="shared" si="1"/>
        <v>0</v>
      </c>
      <c r="O27" s="43">
        <f ca="1">IF('SVS UnterhaltsRG'!H61="",0,'SVS UnterhaltsRG'!H61)</f>
        <v>0</v>
      </c>
      <c r="P27" s="43">
        <f t="shared" si="2"/>
        <v>0</v>
      </c>
      <c r="Q27" s="43">
        <f t="shared" ca="1" si="3"/>
        <v>0</v>
      </c>
      <c r="R27" s="43">
        <f t="shared" si="4"/>
        <v>0</v>
      </c>
      <c r="S27" s="43">
        <f t="shared" ca="1" si="5"/>
        <v>0</v>
      </c>
      <c r="T27" s="3" t="str">
        <f t="shared" si="6"/>
        <v>Leistungswert eintragen</v>
      </c>
      <c r="U27" s="3">
        <f t="shared" si="7"/>
        <v>215</v>
      </c>
      <c r="V27" s="3">
        <f t="shared" si="8"/>
        <v>0</v>
      </c>
    </row>
    <row r="28" spans="1:22" ht="15" customHeight="1" x14ac:dyDescent="0.2">
      <c r="A28" s="96">
        <v>7</v>
      </c>
      <c r="B28" s="107"/>
      <c r="C28" s="108" t="s">
        <v>233</v>
      </c>
      <c r="D28" s="108"/>
      <c r="E28" s="108" t="s">
        <v>270</v>
      </c>
      <c r="F28" s="108" t="s">
        <v>218</v>
      </c>
      <c r="G28" s="109">
        <v>2.86</v>
      </c>
      <c r="H28" s="109"/>
      <c r="I28" s="109"/>
      <c r="J28" s="96" t="s">
        <v>259</v>
      </c>
      <c r="K28" s="109">
        <v>5</v>
      </c>
      <c r="L28" s="43">
        <f>VLOOKUP(K28,Reinigungstage!A10:C31,3,FALSE)</f>
        <v>209.33</v>
      </c>
      <c r="M28" s="43">
        <f t="shared" si="0"/>
        <v>598.67999999999995</v>
      </c>
      <c r="N28" s="110">
        <f t="shared" si="1"/>
        <v>0</v>
      </c>
      <c r="O28" s="43">
        <f ca="1">IF('SVS UnterhaltsRG'!H61="",0,'SVS UnterhaltsRG'!H61)</f>
        <v>0</v>
      </c>
      <c r="P28" s="43">
        <f t="shared" si="2"/>
        <v>0</v>
      </c>
      <c r="Q28" s="43">
        <f t="shared" ca="1" si="3"/>
        <v>0</v>
      </c>
      <c r="R28" s="43">
        <f t="shared" si="4"/>
        <v>0</v>
      </c>
      <c r="S28" s="43">
        <f t="shared" ca="1" si="5"/>
        <v>0</v>
      </c>
      <c r="T28" s="3" t="str">
        <f t="shared" si="6"/>
        <v>Leistungswert eintragen</v>
      </c>
      <c r="U28" s="3">
        <f t="shared" si="7"/>
        <v>75</v>
      </c>
      <c r="V28" s="3">
        <f t="shared" si="8"/>
        <v>0</v>
      </c>
    </row>
    <row r="29" spans="1:22" ht="15" customHeight="1" x14ac:dyDescent="0.2">
      <c r="A29" s="96">
        <v>8</v>
      </c>
      <c r="B29" s="107"/>
      <c r="C29" s="108" t="s">
        <v>233</v>
      </c>
      <c r="D29" s="108"/>
      <c r="E29" s="108" t="s">
        <v>271</v>
      </c>
      <c r="F29" s="108" t="s">
        <v>218</v>
      </c>
      <c r="G29" s="109">
        <v>2.78</v>
      </c>
      <c r="H29" s="109"/>
      <c r="I29" s="109"/>
      <c r="J29" s="96" t="s">
        <v>259</v>
      </c>
      <c r="K29" s="109">
        <v>5</v>
      </c>
      <c r="L29" s="43">
        <f>VLOOKUP(K29,Reinigungstage!A10:C31,3,FALSE)</f>
        <v>209.33</v>
      </c>
      <c r="M29" s="43">
        <f t="shared" si="0"/>
        <v>581.94000000000005</v>
      </c>
      <c r="N29" s="110">
        <f t="shared" si="1"/>
        <v>0</v>
      </c>
      <c r="O29" s="43">
        <f ca="1">IF('SVS UnterhaltsRG'!H61="",0,'SVS UnterhaltsRG'!H61)</f>
        <v>0</v>
      </c>
      <c r="P29" s="43">
        <f t="shared" si="2"/>
        <v>0</v>
      </c>
      <c r="Q29" s="43">
        <f t="shared" ca="1" si="3"/>
        <v>0</v>
      </c>
      <c r="R29" s="43">
        <f t="shared" si="4"/>
        <v>0</v>
      </c>
      <c r="S29" s="43">
        <f t="shared" ca="1" si="5"/>
        <v>0</v>
      </c>
      <c r="T29" s="3" t="str">
        <f t="shared" si="6"/>
        <v>Leistungswert eintragen</v>
      </c>
      <c r="U29" s="3">
        <f t="shared" si="7"/>
        <v>75</v>
      </c>
      <c r="V29" s="3">
        <f t="shared" si="8"/>
        <v>0</v>
      </c>
    </row>
    <row r="30" spans="1:22" ht="15" customHeight="1" x14ac:dyDescent="0.2">
      <c r="A30" s="96">
        <v>9</v>
      </c>
      <c r="B30" s="107" t="s">
        <v>272</v>
      </c>
      <c r="C30" s="108" t="s">
        <v>233</v>
      </c>
      <c r="D30" s="108"/>
      <c r="E30" s="108" t="s">
        <v>273</v>
      </c>
      <c r="F30" s="108" t="s">
        <v>218</v>
      </c>
      <c r="G30" s="109">
        <v>18.36</v>
      </c>
      <c r="H30" s="109"/>
      <c r="I30" s="109"/>
      <c r="J30" s="96" t="s">
        <v>273</v>
      </c>
      <c r="K30" s="109">
        <v>5</v>
      </c>
      <c r="L30" s="43">
        <f>VLOOKUP(K30,Reinigungstage!A10:C31,3,FALSE)</f>
        <v>209.33</v>
      </c>
      <c r="M30" s="43">
        <f t="shared" si="0"/>
        <v>3843.3</v>
      </c>
      <c r="N30" s="110">
        <f t="shared" si="1"/>
        <v>0</v>
      </c>
      <c r="O30" s="43">
        <f ca="1">IF('SVS UnterhaltsRG'!H61="",0,'SVS UnterhaltsRG'!H61)</f>
        <v>0</v>
      </c>
      <c r="P30" s="43">
        <f t="shared" si="2"/>
        <v>0</v>
      </c>
      <c r="Q30" s="43">
        <f t="shared" ca="1" si="3"/>
        <v>0</v>
      </c>
      <c r="R30" s="43">
        <f t="shared" si="4"/>
        <v>0</v>
      </c>
      <c r="S30" s="43">
        <f t="shared" ca="1" si="5"/>
        <v>0</v>
      </c>
      <c r="T30" s="3" t="str">
        <f t="shared" si="6"/>
        <v>Leistungswert eintragen</v>
      </c>
      <c r="U30" s="3">
        <f t="shared" si="7"/>
        <v>220</v>
      </c>
      <c r="V30" s="3">
        <f t="shared" si="8"/>
        <v>0</v>
      </c>
    </row>
    <row r="31" spans="1:22" ht="15" customHeight="1" x14ac:dyDescent="0.2">
      <c r="A31" s="96">
        <v>10</v>
      </c>
      <c r="B31" s="107"/>
      <c r="C31" s="108" t="s">
        <v>233</v>
      </c>
      <c r="D31" s="108"/>
      <c r="E31" s="108" t="s">
        <v>274</v>
      </c>
      <c r="F31" s="108" t="s">
        <v>220</v>
      </c>
      <c r="G31" s="109">
        <v>9.66</v>
      </c>
      <c r="H31" s="109"/>
      <c r="I31" s="109"/>
      <c r="J31" s="96" t="s">
        <v>259</v>
      </c>
      <c r="K31" s="109">
        <v>5</v>
      </c>
      <c r="L31" s="43">
        <f>VLOOKUP(K31,Reinigungstage!A10:C31,3,FALSE)</f>
        <v>209.33</v>
      </c>
      <c r="M31" s="43">
        <f t="shared" si="0"/>
        <v>2022.13</v>
      </c>
      <c r="N31" s="110">
        <f t="shared" si="1"/>
        <v>0</v>
      </c>
      <c r="O31" s="43">
        <f ca="1">IF('SVS UnterhaltsRG'!H61="",0,'SVS UnterhaltsRG'!H61)</f>
        <v>0</v>
      </c>
      <c r="P31" s="43">
        <f t="shared" si="2"/>
        <v>0</v>
      </c>
      <c r="Q31" s="43">
        <f t="shared" ca="1" si="3"/>
        <v>0</v>
      </c>
      <c r="R31" s="43">
        <f t="shared" si="4"/>
        <v>0</v>
      </c>
      <c r="S31" s="43">
        <f t="shared" ca="1" si="5"/>
        <v>0</v>
      </c>
      <c r="T31" s="3" t="str">
        <f t="shared" si="6"/>
        <v>Leistungswert eintragen</v>
      </c>
      <c r="U31" s="3">
        <f t="shared" si="7"/>
        <v>75</v>
      </c>
      <c r="V31" s="3">
        <f t="shared" si="8"/>
        <v>0</v>
      </c>
    </row>
    <row r="32" spans="1:22" ht="15" customHeight="1" x14ac:dyDescent="0.2">
      <c r="A32" s="96">
        <v>11</v>
      </c>
      <c r="B32" s="107"/>
      <c r="C32" s="108" t="s">
        <v>233</v>
      </c>
      <c r="D32" s="108"/>
      <c r="E32" s="108" t="s">
        <v>219</v>
      </c>
      <c r="F32" s="108" t="s">
        <v>220</v>
      </c>
      <c r="G32" s="109">
        <v>2.17</v>
      </c>
      <c r="H32" s="109"/>
      <c r="I32" s="109"/>
      <c r="J32" s="96" t="s">
        <v>259</v>
      </c>
      <c r="K32" s="109">
        <v>5</v>
      </c>
      <c r="L32" s="43">
        <f>VLOOKUP(K32,Reinigungstage!A10:C31,3,FALSE)</f>
        <v>209.33</v>
      </c>
      <c r="M32" s="43">
        <f t="shared" si="0"/>
        <v>454.25</v>
      </c>
      <c r="N32" s="110">
        <f t="shared" si="1"/>
        <v>0</v>
      </c>
      <c r="O32" s="43">
        <f ca="1">IF('SVS UnterhaltsRG'!H61="",0,'SVS UnterhaltsRG'!H61)</f>
        <v>0</v>
      </c>
      <c r="P32" s="43">
        <f t="shared" si="2"/>
        <v>0</v>
      </c>
      <c r="Q32" s="43">
        <f t="shared" ca="1" si="3"/>
        <v>0</v>
      </c>
      <c r="R32" s="43">
        <f t="shared" si="4"/>
        <v>0</v>
      </c>
      <c r="S32" s="43">
        <f t="shared" ca="1" si="5"/>
        <v>0</v>
      </c>
      <c r="T32" s="3" t="str">
        <f t="shared" si="6"/>
        <v>Leistungswert eintragen</v>
      </c>
      <c r="U32" s="3">
        <f t="shared" si="7"/>
        <v>75</v>
      </c>
      <c r="V32" s="3">
        <f t="shared" si="8"/>
        <v>0</v>
      </c>
    </row>
    <row r="33" spans="1:22" ht="15" customHeight="1" x14ac:dyDescent="0.2">
      <c r="A33" s="96">
        <v>12</v>
      </c>
      <c r="B33" s="107" t="s">
        <v>275</v>
      </c>
      <c r="C33" s="108" t="s">
        <v>233</v>
      </c>
      <c r="D33" s="108"/>
      <c r="E33" s="108" t="s">
        <v>274</v>
      </c>
      <c r="F33" s="108" t="s">
        <v>220</v>
      </c>
      <c r="G33" s="109">
        <v>4.28</v>
      </c>
      <c r="H33" s="109"/>
      <c r="I33" s="109"/>
      <c r="J33" s="96" t="s">
        <v>259</v>
      </c>
      <c r="K33" s="109">
        <v>5</v>
      </c>
      <c r="L33" s="43">
        <f>VLOOKUP(K33,Reinigungstage!A10:C31,3,FALSE)</f>
        <v>209.33</v>
      </c>
      <c r="M33" s="43">
        <f t="shared" si="0"/>
        <v>895.93</v>
      </c>
      <c r="N33" s="110">
        <f t="shared" si="1"/>
        <v>0</v>
      </c>
      <c r="O33" s="43">
        <f ca="1">IF('SVS UnterhaltsRG'!H61="",0,'SVS UnterhaltsRG'!H61)</f>
        <v>0</v>
      </c>
      <c r="P33" s="43">
        <f t="shared" si="2"/>
        <v>0</v>
      </c>
      <c r="Q33" s="43">
        <f t="shared" ca="1" si="3"/>
        <v>0</v>
      </c>
      <c r="R33" s="43">
        <f t="shared" si="4"/>
        <v>0</v>
      </c>
      <c r="S33" s="43">
        <f t="shared" ca="1" si="5"/>
        <v>0</v>
      </c>
      <c r="T33" s="3" t="str">
        <f t="shared" si="6"/>
        <v>Leistungswert eintragen</v>
      </c>
      <c r="U33" s="3">
        <f t="shared" si="7"/>
        <v>75</v>
      </c>
      <c r="V33" s="3">
        <f t="shared" si="8"/>
        <v>0</v>
      </c>
    </row>
    <row r="34" spans="1:22" ht="15" customHeight="1" x14ac:dyDescent="0.2">
      <c r="A34" s="96">
        <v>13</v>
      </c>
      <c r="B34" s="107" t="s">
        <v>276</v>
      </c>
      <c r="C34" s="108" t="s">
        <v>233</v>
      </c>
      <c r="D34" s="108"/>
      <c r="E34" s="108" t="s">
        <v>273</v>
      </c>
      <c r="F34" s="108" t="s">
        <v>218</v>
      </c>
      <c r="G34" s="109">
        <v>18.18</v>
      </c>
      <c r="H34" s="109"/>
      <c r="I34" s="109"/>
      <c r="J34" s="96" t="s">
        <v>273</v>
      </c>
      <c r="K34" s="109">
        <v>5</v>
      </c>
      <c r="L34" s="43">
        <f>VLOOKUP(K34,Reinigungstage!A10:C31,3,FALSE)</f>
        <v>209.33</v>
      </c>
      <c r="M34" s="43">
        <f t="shared" si="0"/>
        <v>3805.62</v>
      </c>
      <c r="N34" s="110">
        <f t="shared" si="1"/>
        <v>0</v>
      </c>
      <c r="O34" s="43">
        <f ca="1">IF('SVS UnterhaltsRG'!H61="",0,'SVS UnterhaltsRG'!H61)</f>
        <v>0</v>
      </c>
      <c r="P34" s="43">
        <f t="shared" si="2"/>
        <v>0</v>
      </c>
      <c r="Q34" s="43">
        <f t="shared" ca="1" si="3"/>
        <v>0</v>
      </c>
      <c r="R34" s="43">
        <f t="shared" si="4"/>
        <v>0</v>
      </c>
      <c r="S34" s="43">
        <f t="shared" ca="1" si="5"/>
        <v>0</v>
      </c>
      <c r="T34" s="3" t="str">
        <f t="shared" si="6"/>
        <v>Leistungswert eintragen</v>
      </c>
      <c r="U34" s="3">
        <f t="shared" si="7"/>
        <v>220</v>
      </c>
      <c r="V34" s="3">
        <f t="shared" si="8"/>
        <v>0</v>
      </c>
    </row>
    <row r="35" spans="1:22" ht="15" customHeight="1" x14ac:dyDescent="0.2">
      <c r="A35" s="96">
        <v>14</v>
      </c>
      <c r="B35" s="107" t="s">
        <v>276</v>
      </c>
      <c r="C35" s="108" t="s">
        <v>233</v>
      </c>
      <c r="D35" s="108"/>
      <c r="E35" s="108" t="s">
        <v>274</v>
      </c>
      <c r="F35" s="108" t="s">
        <v>220</v>
      </c>
      <c r="G35" s="109">
        <v>9.66</v>
      </c>
      <c r="H35" s="109"/>
      <c r="I35" s="109"/>
      <c r="J35" s="96" t="s">
        <v>259</v>
      </c>
      <c r="K35" s="109">
        <v>5</v>
      </c>
      <c r="L35" s="43">
        <f>VLOOKUP(K35,Reinigungstage!A10:C31,3,FALSE)</f>
        <v>209.33</v>
      </c>
      <c r="M35" s="43">
        <f t="shared" si="0"/>
        <v>2022.13</v>
      </c>
      <c r="N35" s="110">
        <f t="shared" si="1"/>
        <v>0</v>
      </c>
      <c r="O35" s="43">
        <f ca="1">IF('SVS UnterhaltsRG'!H61="",0,'SVS UnterhaltsRG'!H61)</f>
        <v>0</v>
      </c>
      <c r="P35" s="43">
        <f t="shared" si="2"/>
        <v>0</v>
      </c>
      <c r="Q35" s="43">
        <f t="shared" ca="1" si="3"/>
        <v>0</v>
      </c>
      <c r="R35" s="43">
        <f t="shared" si="4"/>
        <v>0</v>
      </c>
      <c r="S35" s="43">
        <f t="shared" ca="1" si="5"/>
        <v>0</v>
      </c>
      <c r="T35" s="3" t="str">
        <f t="shared" si="6"/>
        <v>Leistungswert eintragen</v>
      </c>
      <c r="U35" s="3">
        <f t="shared" si="7"/>
        <v>75</v>
      </c>
      <c r="V35" s="3">
        <f t="shared" si="8"/>
        <v>0</v>
      </c>
    </row>
    <row r="36" spans="1:22" ht="15" customHeight="1" x14ac:dyDescent="0.2">
      <c r="A36" s="96">
        <v>15</v>
      </c>
      <c r="B36" s="107" t="s">
        <v>276</v>
      </c>
      <c r="C36" s="108" t="s">
        <v>233</v>
      </c>
      <c r="D36" s="108"/>
      <c r="E36" s="108" t="s">
        <v>219</v>
      </c>
      <c r="F36" s="108" t="s">
        <v>220</v>
      </c>
      <c r="G36" s="109">
        <v>2.17</v>
      </c>
      <c r="H36" s="109"/>
      <c r="I36" s="109"/>
      <c r="J36" s="96" t="s">
        <v>259</v>
      </c>
      <c r="K36" s="109">
        <v>5</v>
      </c>
      <c r="L36" s="43">
        <f>VLOOKUP(K36,Reinigungstage!A10:C31,3,FALSE)</f>
        <v>209.33</v>
      </c>
      <c r="M36" s="43">
        <f t="shared" si="0"/>
        <v>454.25</v>
      </c>
      <c r="N36" s="110">
        <f t="shared" si="1"/>
        <v>0</v>
      </c>
      <c r="O36" s="43">
        <f ca="1">IF('SVS UnterhaltsRG'!H61="",0,'SVS UnterhaltsRG'!H61)</f>
        <v>0</v>
      </c>
      <c r="P36" s="43">
        <f t="shared" si="2"/>
        <v>0</v>
      </c>
      <c r="Q36" s="43">
        <f t="shared" ca="1" si="3"/>
        <v>0</v>
      </c>
      <c r="R36" s="43">
        <f t="shared" si="4"/>
        <v>0</v>
      </c>
      <c r="S36" s="43">
        <f t="shared" ca="1" si="5"/>
        <v>0</v>
      </c>
      <c r="T36" s="3" t="str">
        <f t="shared" si="6"/>
        <v>Leistungswert eintragen</v>
      </c>
      <c r="U36" s="3">
        <f t="shared" si="7"/>
        <v>75</v>
      </c>
      <c r="V36" s="3">
        <f t="shared" si="8"/>
        <v>0</v>
      </c>
    </row>
    <row r="37" spans="1:22" ht="15" customHeight="1" x14ac:dyDescent="0.2">
      <c r="A37" s="96">
        <v>16</v>
      </c>
      <c r="B37" s="107" t="s">
        <v>277</v>
      </c>
      <c r="C37" s="108" t="s">
        <v>233</v>
      </c>
      <c r="D37" s="108"/>
      <c r="E37" s="108" t="s">
        <v>273</v>
      </c>
      <c r="F37" s="108" t="s">
        <v>218</v>
      </c>
      <c r="G37" s="109">
        <v>18.36</v>
      </c>
      <c r="H37" s="109"/>
      <c r="I37" s="109"/>
      <c r="J37" s="96" t="s">
        <v>273</v>
      </c>
      <c r="K37" s="109">
        <v>5</v>
      </c>
      <c r="L37" s="43">
        <f>VLOOKUP(K37,Reinigungstage!A10:C31,3,FALSE)</f>
        <v>209.33</v>
      </c>
      <c r="M37" s="43">
        <f t="shared" si="0"/>
        <v>3843.3</v>
      </c>
      <c r="N37" s="110">
        <f t="shared" si="1"/>
        <v>0</v>
      </c>
      <c r="O37" s="43">
        <f ca="1">IF('SVS UnterhaltsRG'!H61="",0,'SVS UnterhaltsRG'!H61)</f>
        <v>0</v>
      </c>
      <c r="P37" s="43">
        <f t="shared" si="2"/>
        <v>0</v>
      </c>
      <c r="Q37" s="43">
        <f t="shared" ca="1" si="3"/>
        <v>0</v>
      </c>
      <c r="R37" s="43">
        <f t="shared" si="4"/>
        <v>0</v>
      </c>
      <c r="S37" s="43">
        <f t="shared" ca="1" si="5"/>
        <v>0</v>
      </c>
      <c r="T37" s="3" t="str">
        <f t="shared" si="6"/>
        <v>Leistungswert eintragen</v>
      </c>
      <c r="U37" s="3">
        <f t="shared" si="7"/>
        <v>220</v>
      </c>
      <c r="V37" s="3">
        <f t="shared" si="8"/>
        <v>0</v>
      </c>
    </row>
    <row r="38" spans="1:22" ht="15" customHeight="1" x14ac:dyDescent="0.2">
      <c r="A38" s="96">
        <v>17</v>
      </c>
      <c r="B38" s="107"/>
      <c r="C38" s="108" t="s">
        <v>233</v>
      </c>
      <c r="D38" s="108"/>
      <c r="E38" s="108" t="s">
        <v>219</v>
      </c>
      <c r="F38" s="108" t="s">
        <v>220</v>
      </c>
      <c r="G38" s="109">
        <v>2.1800000000000002</v>
      </c>
      <c r="H38" s="109"/>
      <c r="I38" s="109"/>
      <c r="J38" s="96" t="s">
        <v>259</v>
      </c>
      <c r="K38" s="109">
        <v>5</v>
      </c>
      <c r="L38" s="43">
        <f>VLOOKUP(K38,Reinigungstage!A10:C31,3,FALSE)</f>
        <v>209.33</v>
      </c>
      <c r="M38" s="43">
        <f t="shared" si="0"/>
        <v>456.34</v>
      </c>
      <c r="N38" s="110">
        <f t="shared" si="1"/>
        <v>0</v>
      </c>
      <c r="O38" s="43">
        <f ca="1">IF('SVS UnterhaltsRG'!H61="",0,'SVS UnterhaltsRG'!H61)</f>
        <v>0</v>
      </c>
      <c r="P38" s="43">
        <f t="shared" si="2"/>
        <v>0</v>
      </c>
      <c r="Q38" s="43">
        <f t="shared" ca="1" si="3"/>
        <v>0</v>
      </c>
      <c r="R38" s="43">
        <f t="shared" si="4"/>
        <v>0</v>
      </c>
      <c r="S38" s="43">
        <f t="shared" ca="1" si="5"/>
        <v>0</v>
      </c>
      <c r="T38" s="3" t="str">
        <f t="shared" si="6"/>
        <v>Leistungswert eintragen</v>
      </c>
      <c r="U38" s="3">
        <f t="shared" si="7"/>
        <v>75</v>
      </c>
      <c r="V38" s="3">
        <f t="shared" si="8"/>
        <v>0</v>
      </c>
    </row>
    <row r="39" spans="1:22" ht="15" customHeight="1" x14ac:dyDescent="0.2">
      <c r="A39" s="96">
        <v>18</v>
      </c>
      <c r="B39" s="107"/>
      <c r="C39" s="108" t="s">
        <v>233</v>
      </c>
      <c r="D39" s="108"/>
      <c r="E39" s="108" t="s">
        <v>274</v>
      </c>
      <c r="F39" s="108" t="s">
        <v>220</v>
      </c>
      <c r="G39" s="109">
        <v>9.66</v>
      </c>
      <c r="H39" s="109"/>
      <c r="I39" s="109"/>
      <c r="J39" s="96" t="s">
        <v>259</v>
      </c>
      <c r="K39" s="109">
        <v>5</v>
      </c>
      <c r="L39" s="43">
        <f>VLOOKUP(K39,Reinigungstage!A10:C31,3,FALSE)</f>
        <v>209.33</v>
      </c>
      <c r="M39" s="43">
        <f t="shared" si="0"/>
        <v>2022.13</v>
      </c>
      <c r="N39" s="110">
        <f t="shared" si="1"/>
        <v>0</v>
      </c>
      <c r="O39" s="43">
        <f ca="1">IF('SVS UnterhaltsRG'!H61="",0,'SVS UnterhaltsRG'!H61)</f>
        <v>0</v>
      </c>
      <c r="P39" s="43">
        <f t="shared" si="2"/>
        <v>0</v>
      </c>
      <c r="Q39" s="43">
        <f t="shared" ca="1" si="3"/>
        <v>0</v>
      </c>
      <c r="R39" s="43">
        <f t="shared" si="4"/>
        <v>0</v>
      </c>
      <c r="S39" s="43">
        <f t="shared" ca="1" si="5"/>
        <v>0</v>
      </c>
      <c r="T39" s="3" t="str">
        <f t="shared" si="6"/>
        <v>Leistungswert eintragen</v>
      </c>
      <c r="U39" s="3">
        <f t="shared" si="7"/>
        <v>75</v>
      </c>
      <c r="V39" s="3">
        <f t="shared" si="8"/>
        <v>0</v>
      </c>
    </row>
    <row r="40" spans="1:22" ht="15" customHeight="1" x14ac:dyDescent="0.2">
      <c r="A40" s="96">
        <v>19</v>
      </c>
      <c r="B40" s="107" t="s">
        <v>278</v>
      </c>
      <c r="C40" s="108" t="s">
        <v>233</v>
      </c>
      <c r="D40" s="108"/>
      <c r="E40" s="108" t="s">
        <v>274</v>
      </c>
      <c r="F40" s="108" t="s">
        <v>220</v>
      </c>
      <c r="G40" s="109">
        <v>4.3099999999999996</v>
      </c>
      <c r="H40" s="109"/>
      <c r="I40" s="109"/>
      <c r="J40" s="96" t="s">
        <v>259</v>
      </c>
      <c r="K40" s="109">
        <v>5</v>
      </c>
      <c r="L40" s="43">
        <f>VLOOKUP(K40,Reinigungstage!A10:C31,3,FALSE)</f>
        <v>209.33</v>
      </c>
      <c r="M40" s="43">
        <f t="shared" si="0"/>
        <v>902.21</v>
      </c>
      <c r="N40" s="110">
        <f t="shared" si="1"/>
        <v>0</v>
      </c>
      <c r="O40" s="43">
        <f ca="1">IF('SVS UnterhaltsRG'!H61="",0,'SVS UnterhaltsRG'!H61)</f>
        <v>0</v>
      </c>
      <c r="P40" s="43">
        <f t="shared" si="2"/>
        <v>0</v>
      </c>
      <c r="Q40" s="43">
        <f t="shared" ca="1" si="3"/>
        <v>0</v>
      </c>
      <c r="R40" s="43">
        <f t="shared" si="4"/>
        <v>0</v>
      </c>
      <c r="S40" s="43">
        <f t="shared" ca="1" si="5"/>
        <v>0</v>
      </c>
      <c r="T40" s="3" t="str">
        <f t="shared" si="6"/>
        <v>Leistungswert eintragen</v>
      </c>
      <c r="U40" s="3">
        <f t="shared" si="7"/>
        <v>75</v>
      </c>
      <c r="V40" s="3">
        <f t="shared" si="8"/>
        <v>0</v>
      </c>
    </row>
    <row r="41" spans="1:22" ht="15" customHeight="1" x14ac:dyDescent="0.2">
      <c r="A41" s="96">
        <v>20</v>
      </c>
      <c r="B41" s="107" t="s">
        <v>279</v>
      </c>
      <c r="C41" s="108" t="s">
        <v>233</v>
      </c>
      <c r="D41" s="108"/>
      <c r="E41" s="108" t="s">
        <v>273</v>
      </c>
      <c r="F41" s="108" t="s">
        <v>218</v>
      </c>
      <c r="G41" s="109">
        <v>18.329999999999998</v>
      </c>
      <c r="H41" s="109"/>
      <c r="I41" s="109"/>
      <c r="J41" s="96" t="s">
        <v>273</v>
      </c>
      <c r="K41" s="109">
        <v>5</v>
      </c>
      <c r="L41" s="43">
        <f>VLOOKUP(K41,Reinigungstage!A10:C31,3,FALSE)</f>
        <v>209.33</v>
      </c>
      <c r="M41" s="43">
        <f t="shared" si="0"/>
        <v>3837.02</v>
      </c>
      <c r="N41" s="110">
        <f t="shared" si="1"/>
        <v>0</v>
      </c>
      <c r="O41" s="43">
        <f ca="1">IF('SVS UnterhaltsRG'!H61="",0,'SVS UnterhaltsRG'!H61)</f>
        <v>0</v>
      </c>
      <c r="P41" s="43">
        <f t="shared" si="2"/>
        <v>0</v>
      </c>
      <c r="Q41" s="43">
        <f t="shared" ca="1" si="3"/>
        <v>0</v>
      </c>
      <c r="R41" s="43">
        <f t="shared" si="4"/>
        <v>0</v>
      </c>
      <c r="S41" s="43">
        <f t="shared" ca="1" si="5"/>
        <v>0</v>
      </c>
      <c r="T41" s="3" t="str">
        <f t="shared" si="6"/>
        <v>Leistungswert eintragen</v>
      </c>
      <c r="U41" s="3">
        <f t="shared" si="7"/>
        <v>220</v>
      </c>
      <c r="V41" s="3">
        <f t="shared" si="8"/>
        <v>0</v>
      </c>
    </row>
    <row r="42" spans="1:22" ht="15" customHeight="1" x14ac:dyDescent="0.2">
      <c r="A42" s="96">
        <v>21</v>
      </c>
      <c r="B42" s="107"/>
      <c r="C42" s="108" t="s">
        <v>233</v>
      </c>
      <c r="D42" s="108"/>
      <c r="E42" s="108" t="s">
        <v>274</v>
      </c>
      <c r="F42" s="108" t="s">
        <v>220</v>
      </c>
      <c r="G42" s="109">
        <v>9.66</v>
      </c>
      <c r="H42" s="109"/>
      <c r="I42" s="109"/>
      <c r="J42" s="96" t="s">
        <v>259</v>
      </c>
      <c r="K42" s="109">
        <v>5</v>
      </c>
      <c r="L42" s="43">
        <f>VLOOKUP(K42,Reinigungstage!A10:C31,3,FALSE)</f>
        <v>209.33</v>
      </c>
      <c r="M42" s="43">
        <f t="shared" si="0"/>
        <v>2022.13</v>
      </c>
      <c r="N42" s="110">
        <f t="shared" si="1"/>
        <v>0</v>
      </c>
      <c r="O42" s="43">
        <f ca="1">IF('SVS UnterhaltsRG'!H61="",0,'SVS UnterhaltsRG'!H61)</f>
        <v>0</v>
      </c>
      <c r="P42" s="43">
        <f t="shared" si="2"/>
        <v>0</v>
      </c>
      <c r="Q42" s="43">
        <f t="shared" ca="1" si="3"/>
        <v>0</v>
      </c>
      <c r="R42" s="43">
        <f t="shared" si="4"/>
        <v>0</v>
      </c>
      <c r="S42" s="43">
        <f t="shared" ca="1" si="5"/>
        <v>0</v>
      </c>
      <c r="T42" s="3" t="str">
        <f t="shared" si="6"/>
        <v>Leistungswert eintragen</v>
      </c>
      <c r="U42" s="3">
        <f t="shared" si="7"/>
        <v>75</v>
      </c>
      <c r="V42" s="3">
        <f t="shared" si="8"/>
        <v>0</v>
      </c>
    </row>
    <row r="43" spans="1:22" ht="15" customHeight="1" x14ac:dyDescent="0.2">
      <c r="A43" s="96">
        <v>22</v>
      </c>
      <c r="B43" s="107"/>
      <c r="C43" s="108" t="s">
        <v>233</v>
      </c>
      <c r="D43" s="108"/>
      <c r="E43" s="108" t="s">
        <v>219</v>
      </c>
      <c r="F43" s="108" t="s">
        <v>220</v>
      </c>
      <c r="G43" s="109">
        <v>2.13</v>
      </c>
      <c r="H43" s="109"/>
      <c r="I43" s="109"/>
      <c r="J43" s="96" t="s">
        <v>259</v>
      </c>
      <c r="K43" s="109">
        <v>5</v>
      </c>
      <c r="L43" s="43">
        <f>VLOOKUP(K43,Reinigungstage!A10:C31,3,FALSE)</f>
        <v>209.33</v>
      </c>
      <c r="M43" s="43">
        <f t="shared" si="0"/>
        <v>445.87</v>
      </c>
      <c r="N43" s="110">
        <f t="shared" si="1"/>
        <v>0</v>
      </c>
      <c r="O43" s="43">
        <f ca="1">IF('SVS UnterhaltsRG'!H61="",0,'SVS UnterhaltsRG'!H61)</f>
        <v>0</v>
      </c>
      <c r="P43" s="43">
        <f t="shared" si="2"/>
        <v>0</v>
      </c>
      <c r="Q43" s="43">
        <f t="shared" ca="1" si="3"/>
        <v>0</v>
      </c>
      <c r="R43" s="43">
        <f t="shared" si="4"/>
        <v>0</v>
      </c>
      <c r="S43" s="43">
        <f t="shared" ca="1" si="5"/>
        <v>0</v>
      </c>
      <c r="T43" s="3" t="str">
        <f t="shared" si="6"/>
        <v>Leistungswert eintragen</v>
      </c>
      <c r="U43" s="3">
        <f t="shared" si="7"/>
        <v>75</v>
      </c>
      <c r="V43" s="3">
        <f t="shared" si="8"/>
        <v>0</v>
      </c>
    </row>
    <row r="44" spans="1:22" ht="15" customHeight="1" x14ac:dyDescent="0.2">
      <c r="A44" s="96">
        <v>23</v>
      </c>
      <c r="B44" s="107"/>
      <c r="C44" s="108" t="s">
        <v>233</v>
      </c>
      <c r="D44" s="108"/>
      <c r="E44" s="108" t="s">
        <v>280</v>
      </c>
      <c r="F44" s="108" t="s">
        <v>281</v>
      </c>
      <c r="G44" s="109">
        <v>23.14</v>
      </c>
      <c r="H44" s="109"/>
      <c r="I44" s="109"/>
      <c r="J44" s="96" t="s">
        <v>260</v>
      </c>
      <c r="K44" s="109">
        <v>5</v>
      </c>
      <c r="L44" s="43">
        <f>VLOOKUP(K44,Reinigungstage!A10:C31,3,FALSE)</f>
        <v>209.33</v>
      </c>
      <c r="M44" s="43">
        <f t="shared" si="0"/>
        <v>4843.8999999999996</v>
      </c>
      <c r="N44" s="110">
        <f t="shared" si="1"/>
        <v>0</v>
      </c>
      <c r="O44" s="43">
        <f ca="1">IF('SVS UnterhaltsRG'!H61="",0,'SVS UnterhaltsRG'!H61)</f>
        <v>0</v>
      </c>
      <c r="P44" s="43">
        <f t="shared" si="2"/>
        <v>0</v>
      </c>
      <c r="Q44" s="43">
        <f t="shared" ca="1" si="3"/>
        <v>0</v>
      </c>
      <c r="R44" s="43">
        <f t="shared" si="4"/>
        <v>0</v>
      </c>
      <c r="S44" s="43">
        <f t="shared" ca="1" si="5"/>
        <v>0</v>
      </c>
      <c r="T44" s="3" t="str">
        <f t="shared" si="6"/>
        <v>Leistungswert eintragen</v>
      </c>
      <c r="U44" s="3">
        <f t="shared" si="7"/>
        <v>450</v>
      </c>
      <c r="V44" s="3">
        <f t="shared" si="8"/>
        <v>0</v>
      </c>
    </row>
    <row r="45" spans="1:22" ht="15" customHeight="1" x14ac:dyDescent="0.2">
      <c r="A45" s="96">
        <v>24</v>
      </c>
      <c r="B45" s="107"/>
      <c r="C45" s="108" t="s">
        <v>233</v>
      </c>
      <c r="D45" s="108" t="s">
        <v>153</v>
      </c>
      <c r="E45" s="108" t="s">
        <v>280</v>
      </c>
      <c r="F45" s="108" t="s">
        <v>281</v>
      </c>
      <c r="G45" s="109">
        <v>15.62</v>
      </c>
      <c r="H45" s="109"/>
      <c r="I45" s="109">
        <v>1</v>
      </c>
      <c r="J45" s="96" t="s">
        <v>260</v>
      </c>
      <c r="K45" s="109">
        <v>5</v>
      </c>
      <c r="L45" s="43">
        <f>VLOOKUP(K45,Reinigungstage!A10:C31,3,FALSE)</f>
        <v>209.33</v>
      </c>
      <c r="M45" s="43">
        <f t="shared" si="0"/>
        <v>3269.73</v>
      </c>
      <c r="N45" s="110">
        <f t="shared" si="1"/>
        <v>0</v>
      </c>
      <c r="O45" s="43">
        <f ca="1">IF('SVS UnterhaltsRG'!H61="",0,'SVS UnterhaltsRG'!H61)</f>
        <v>0</v>
      </c>
      <c r="P45" s="43">
        <f t="shared" si="2"/>
        <v>0</v>
      </c>
      <c r="Q45" s="43">
        <f t="shared" ca="1" si="3"/>
        <v>0</v>
      </c>
      <c r="R45" s="43">
        <f t="shared" si="4"/>
        <v>0</v>
      </c>
      <c r="S45" s="43">
        <f t="shared" ca="1" si="5"/>
        <v>0</v>
      </c>
      <c r="T45" s="3" t="str">
        <f t="shared" si="6"/>
        <v>Leistungswert eintragen</v>
      </c>
      <c r="U45" s="3">
        <f t="shared" si="7"/>
        <v>450</v>
      </c>
      <c r="V45" s="3">
        <f t="shared" si="8"/>
        <v>0</v>
      </c>
    </row>
    <row r="46" spans="1:22" ht="15" customHeight="1" x14ac:dyDescent="0.2">
      <c r="A46" s="96">
        <v>25</v>
      </c>
      <c r="B46" s="107"/>
      <c r="C46" s="108" t="s">
        <v>233</v>
      </c>
      <c r="D46" s="108"/>
      <c r="E46" s="108" t="s">
        <v>282</v>
      </c>
      <c r="F46" s="108" t="s">
        <v>218</v>
      </c>
      <c r="G46" s="109">
        <v>5</v>
      </c>
      <c r="H46" s="109"/>
      <c r="I46" s="109"/>
      <c r="J46" s="96" t="s">
        <v>262</v>
      </c>
      <c r="K46" s="96" t="s">
        <v>137</v>
      </c>
      <c r="L46" s="43">
        <f>VLOOKUP(K46,Reinigungstage!A10:C31,3,FALSE)</f>
        <v>11</v>
      </c>
      <c r="M46" s="43">
        <f t="shared" si="0"/>
        <v>55</v>
      </c>
      <c r="N46" s="110">
        <f t="shared" si="1"/>
        <v>0</v>
      </c>
      <c r="O46" s="43">
        <f ca="1">IF('SVS UnterhaltsRG'!H61="",0,'SVS UnterhaltsRG'!H61)</f>
        <v>0</v>
      </c>
      <c r="P46" s="43">
        <f t="shared" si="2"/>
        <v>0</v>
      </c>
      <c r="Q46" s="43">
        <f t="shared" ca="1" si="3"/>
        <v>0</v>
      </c>
      <c r="R46" s="43">
        <f t="shared" si="4"/>
        <v>0</v>
      </c>
      <c r="S46" s="43">
        <f t="shared" ca="1" si="5"/>
        <v>0</v>
      </c>
      <c r="T46" s="3" t="str">
        <f t="shared" si="6"/>
        <v>Leistungswert eintragen</v>
      </c>
      <c r="U46" s="3">
        <f t="shared" si="7"/>
        <v>300</v>
      </c>
      <c r="V46" s="3">
        <f t="shared" si="8"/>
        <v>0</v>
      </c>
    </row>
    <row r="47" spans="1:22" ht="15" customHeight="1" x14ac:dyDescent="0.2">
      <c r="A47" s="96">
        <v>26</v>
      </c>
      <c r="B47" s="107"/>
      <c r="C47" s="108" t="s">
        <v>233</v>
      </c>
      <c r="D47" s="108"/>
      <c r="E47" s="108" t="s">
        <v>235</v>
      </c>
      <c r="F47" s="108" t="s">
        <v>218</v>
      </c>
      <c r="G47" s="109">
        <v>3.43</v>
      </c>
      <c r="H47" s="109"/>
      <c r="I47" s="109"/>
      <c r="J47" s="96" t="s">
        <v>237</v>
      </c>
      <c r="K47" s="109">
        <v>0</v>
      </c>
      <c r="L47" s="43">
        <f>VLOOKUP(K47,Reinigungstage!A10:C31,3,FALSE)</f>
        <v>0</v>
      </c>
      <c r="M47" s="43">
        <f t="shared" si="0"/>
        <v>0</v>
      </c>
      <c r="N47" s="110">
        <f t="shared" si="1"/>
        <v>0</v>
      </c>
      <c r="O47" s="43">
        <f ca="1">IF('SVS UnterhaltsRG'!H61="",0,'SVS UnterhaltsRG'!H61)</f>
        <v>0</v>
      </c>
      <c r="P47" s="43">
        <f t="shared" si="2"/>
        <v>0</v>
      </c>
      <c r="Q47" s="43">
        <f t="shared" si="3"/>
        <v>0</v>
      </c>
      <c r="R47" s="43">
        <f t="shared" si="4"/>
        <v>0</v>
      </c>
      <c r="S47" s="43">
        <f t="shared" si="5"/>
        <v>0</v>
      </c>
      <c r="T47" s="3" t="str">
        <f t="shared" si="6"/>
        <v/>
      </c>
      <c r="U47" s="3">
        <f t="shared" si="7"/>
        <v>195</v>
      </c>
      <c r="V47" s="3">
        <f t="shared" si="8"/>
        <v>0</v>
      </c>
    </row>
  </sheetData>
  <sheetProtection algorithmName="SHA-512" hashValue="WZS+yvqaTuAlQN0vBITJRBhif9au3CdL2aCgty7ULWefeM3Po+KhNKsQaxVvZn8sWFafsJu3Uzhf11/4/ar2cA==" saltValue="a/JNyAur9Jx/IO8PKWASug=="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72"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71" priority="5" operator="containsText" text="Bitte prüfen Sie diese.">
      <formula>NOT(ISERROR(SEARCH("Bitte prüfen Sie diese.",L9)))</formula>
    </cfRule>
  </conditionalFormatting>
  <conditionalFormatting sqref="L10">
    <cfRule type="containsText" dxfId="70"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69" priority="3" operator="containsText" text="lediglich Fehleingaben vermeiden wollen.">
      <formula>NOT(ISERROR(SEARCH("lediglich Fehleingaben vermeiden wollen.",L11)))</formula>
    </cfRule>
  </conditionalFormatting>
  <conditionalFormatting sqref="M11">
    <cfRule type="containsText" dxfId="68"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67" priority="7" operator="containsText" text="für die Objektart prüfen.">
      <formula>NOT(ISERROR(SEARCH("für die Objektart prüfen.",M12)))</formula>
    </cfRule>
  </conditionalFormatting>
  <conditionalFormatting sqref="N13">
    <cfRule type="expression" dxfId="66" priority="2" stopIfTrue="1">
      <formula>N13=0</formula>
    </cfRule>
  </conditionalFormatting>
  <conditionalFormatting sqref="N14">
    <cfRule type="expression" dxfId="65" priority="1">
      <formula>N14=0</formula>
    </cfRule>
  </conditionalFormatting>
  <conditionalFormatting sqref="N22:N47">
    <cfRule type="expression" dxfId="64" priority="11">
      <formula>V22=0</formula>
    </cfRule>
    <cfRule type="expression" dxfId="63" priority="12" stopIfTrue="1">
      <formula>V22=1</formula>
    </cfRule>
  </conditionalFormatting>
  <conditionalFormatting sqref="O13">
    <cfRule type="containsText" dxfId="62"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61" priority="9" operator="containsText" text="Wert(e) prüfen.">
      <formula>NOT(ISERROR(SEARCH("Wert(e) prüfen.",O14)))</formula>
    </cfRule>
  </conditionalFormatting>
  <conditionalFormatting sqref="T22:T47">
    <cfRule type="containsText" dxfId="60" priority="13" stopIfTrue="1" operator="containsText" text="SVS prüfen">
      <formula>NOT(ISERROR(SEARCH("SVS prüfen",T22)))</formula>
    </cfRule>
    <cfRule type="containsText" dxfId="59" priority="14" stopIfTrue="1" operator="containsText" text="Leistungswert eintragen">
      <formula>NOT(ISERROR(SEARCH("Leistungswert eintragen",T22)))</formula>
    </cfRule>
  </conditionalFormatting>
  <hyperlinks>
    <hyperlink ref="M1" location="Inhaltsverzeichnis!A1" display="Zurück zum Inhaltsverzeichnis" xr:uid="{DBC83C26-A8DA-41BE-ADE4-604357FC5993}"/>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Unter SH Pannwitz</oddFooter>
  </headerFooter>
  <rowBreaks count="1" manualBreakCount="1">
    <brk id="47"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5474"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5475"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5476"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2E5DF-DEC8-47DC-99CE-D4F560031F52}">
  <sheetPr codeName="Tabelle35">
    <tabColor indexed="40"/>
  </sheetPr>
  <dimension ref="A1:X44"/>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7" t="s">
        <v>151</v>
      </c>
      <c r="B2" s="158"/>
      <c r="C2" s="158"/>
      <c r="D2" s="158"/>
      <c r="E2" s="159"/>
      <c r="G2" s="160" t="s">
        <v>164</v>
      </c>
      <c r="H2" s="160" t="s">
        <v>156</v>
      </c>
      <c r="I2" s="160" t="s">
        <v>157</v>
      </c>
      <c r="J2" s="160" t="s">
        <v>176</v>
      </c>
      <c r="M2" s="92"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4" customHeight="1" x14ac:dyDescent="0.2">
      <c r="A3" s="93" t="s">
        <v>159</v>
      </c>
      <c r="B3" s="94"/>
      <c r="C3" s="94"/>
      <c r="D3" s="94"/>
      <c r="E3" s="95"/>
      <c r="G3" s="161"/>
      <c r="H3" s="161"/>
      <c r="I3" s="161"/>
      <c r="J3" s="161"/>
      <c r="M3" s="92" t="b">
        <v>0</v>
      </c>
      <c r="N3" s="132"/>
      <c r="O3" s="132"/>
      <c r="P3" s="132"/>
      <c r="Q3" s="132"/>
    </row>
    <row r="4" spans="1:22" ht="18.600000000000001" customHeight="1" x14ac:dyDescent="0.2">
      <c r="A4" s="155" t="s">
        <v>91</v>
      </c>
      <c r="B4" s="165" t="str">
        <f>IF(Inhaltsverzeichnis!C3="","",Inhaltsverzeichnis!C3)</f>
        <v/>
      </c>
      <c r="C4" s="166"/>
      <c r="D4" s="166"/>
      <c r="E4" s="167"/>
      <c r="G4" s="96" t="s">
        <v>261</v>
      </c>
      <c r="H4" s="97"/>
      <c r="I4" s="98">
        <f ca="1">SUMIF('Kal Grund SH Pannwitz'!J22:M44,$G$4,'Kal Grund SH Pannwitz'!M22:M44)</f>
        <v>41.26</v>
      </c>
      <c r="J4" s="69">
        <f>COUNTIFS('Kal Grund SH Pannwitz'!J22:M44,$G$4)</f>
        <v>1</v>
      </c>
      <c r="M4" s="92" t="b">
        <v>0</v>
      </c>
      <c r="N4" s="132"/>
      <c r="O4" s="132"/>
      <c r="P4" s="132"/>
      <c r="Q4" s="132"/>
      <c r="U4" s="96" t="s">
        <v>237</v>
      </c>
      <c r="V4" s="3">
        <v>13</v>
      </c>
    </row>
    <row r="5" spans="1:22" ht="15" customHeight="1" x14ac:dyDescent="0.2">
      <c r="A5" s="156"/>
      <c r="B5" s="168"/>
      <c r="C5" s="169"/>
      <c r="D5" s="169"/>
      <c r="E5" s="170"/>
      <c r="G5" s="96" t="s">
        <v>259</v>
      </c>
      <c r="H5" s="97"/>
      <c r="I5" s="98">
        <f ca="1">SUMIF('Kal Grund SH Pannwitz'!J22:M44,$G$5,'Kal Grund SH Pannwitz'!M22:M44)</f>
        <v>61.52</v>
      </c>
      <c r="J5" s="69">
        <f>COUNTIFS('Kal Grund SH Pannwitz'!J22:M44,$G$5)</f>
        <v>12</v>
      </c>
      <c r="M5" s="92" t="b">
        <v>0</v>
      </c>
      <c r="N5" s="132"/>
      <c r="O5" s="132"/>
      <c r="P5" s="132"/>
      <c r="Q5" s="132"/>
      <c r="U5" s="96" t="s">
        <v>261</v>
      </c>
      <c r="V5" s="3">
        <v>15</v>
      </c>
    </row>
    <row r="6" spans="1:22" ht="15" customHeight="1" x14ac:dyDescent="0.2">
      <c r="A6" s="99" t="s">
        <v>174</v>
      </c>
      <c r="B6" s="171" t="s">
        <v>201</v>
      </c>
      <c r="C6" s="172"/>
      <c r="D6" s="172"/>
      <c r="E6" s="173"/>
      <c r="G6" s="96" t="s">
        <v>283</v>
      </c>
      <c r="H6" s="97"/>
      <c r="I6" s="98">
        <f ca="1">SUMIF('Kal Grund SH Pannwitz'!J22:M44,$G$6,'Kal Grund SH Pannwitz'!M22:M44)</f>
        <v>1050.8</v>
      </c>
      <c r="J6" s="69">
        <f>COUNTIFS('Kal Grund SH Pannwitz'!J22:M44,$G$6)</f>
        <v>1</v>
      </c>
      <c r="U6" s="96" t="s">
        <v>259</v>
      </c>
      <c r="V6" s="3">
        <v>7</v>
      </c>
    </row>
    <row r="7" spans="1:22" ht="15" customHeight="1" x14ac:dyDescent="0.2">
      <c r="A7" s="100" t="s">
        <v>172</v>
      </c>
      <c r="B7" s="174" t="s">
        <v>202</v>
      </c>
      <c r="C7" s="172"/>
      <c r="D7" s="172"/>
      <c r="E7" s="173"/>
      <c r="G7" s="96" t="s">
        <v>262</v>
      </c>
      <c r="H7" s="97"/>
      <c r="I7" s="98">
        <f ca="1">SUMIF('Kal Grund SH Pannwitz'!J22:M44,$G$7,'Kal Grund SH Pannwitz'!M22:M44)</f>
        <v>357.42</v>
      </c>
      <c r="J7" s="69">
        <f>COUNTIFS('Kal Grund SH Pannwitz'!J22:M44,$G$7)</f>
        <v>3</v>
      </c>
      <c r="U7" s="96" t="s">
        <v>283</v>
      </c>
      <c r="V7" s="3">
        <v>25.5</v>
      </c>
    </row>
    <row r="8" spans="1:22" ht="15" customHeight="1" x14ac:dyDescent="0.2">
      <c r="A8" s="100" t="s">
        <v>173</v>
      </c>
      <c r="B8" s="171" t="s">
        <v>208</v>
      </c>
      <c r="C8" s="172"/>
      <c r="D8" s="172"/>
      <c r="E8" s="173"/>
      <c r="G8" s="96" t="s">
        <v>273</v>
      </c>
      <c r="H8" s="97"/>
      <c r="I8" s="98">
        <f ca="1">SUMIF('Kal Grund SH Pannwitz'!J22:M44,$G$8,'Kal Grund SH Pannwitz'!M22:M44)</f>
        <v>73.22999999999999</v>
      </c>
      <c r="J8" s="69">
        <f>COUNTIFS('Kal Grund SH Pannwitz'!J22:M44,$G$8)</f>
        <v>4</v>
      </c>
      <c r="L8" s="111" t="str">
        <f>IF(N14&gt;0,"Ihre Eintragungen der Leistungswerte liegen weit über den Erfahrungswerten aus der Preisschätzung.","")</f>
        <v/>
      </c>
      <c r="U8" s="96" t="s">
        <v>262</v>
      </c>
      <c r="V8" s="3">
        <v>20</v>
      </c>
    </row>
    <row r="9" spans="1:22" ht="15" customHeight="1" x14ac:dyDescent="0.2">
      <c r="A9" s="99" t="s">
        <v>171</v>
      </c>
      <c r="B9" s="175" t="s">
        <v>207</v>
      </c>
      <c r="C9" s="172"/>
      <c r="D9" s="172"/>
      <c r="E9" s="173"/>
      <c r="G9" s="96" t="s">
        <v>260</v>
      </c>
      <c r="H9" s="97"/>
      <c r="I9" s="98">
        <f ca="1">SUMIF('Kal Grund SH Pannwitz'!J22:M44,$G$9,'Kal Grund SH Pannwitz'!M22:M44)</f>
        <v>38.76</v>
      </c>
      <c r="J9" s="69">
        <f>COUNTIFS('Kal Grund SH Pannwitz'!J22:M44,$G$9)</f>
        <v>2</v>
      </c>
      <c r="L9" s="111" t="str">
        <f>IF(N14&gt;0,"Bitte prüfen Sie diese.","")</f>
        <v/>
      </c>
      <c r="U9" s="96" t="s">
        <v>273</v>
      </c>
      <c r="V9" s="3">
        <v>16.5</v>
      </c>
    </row>
    <row r="10" spans="1:22" ht="15" customHeight="1" x14ac:dyDescent="0.2">
      <c r="A10" s="100" t="s">
        <v>153</v>
      </c>
      <c r="B10" s="171" t="s">
        <v>204</v>
      </c>
      <c r="C10" s="172"/>
      <c r="D10" s="172"/>
      <c r="E10" s="173"/>
      <c r="L10" s="111" t="str">
        <f>IF(N14&gt;0,"Beachten Sie, dass Sie frei in der Kalkulation dieser Leistungswerte sind und wir durch den Hinweis","")</f>
        <v/>
      </c>
      <c r="U10" s="96" t="s">
        <v>260</v>
      </c>
      <c r="V10" s="3">
        <v>24</v>
      </c>
    </row>
    <row r="11" spans="1:22" ht="15" customHeight="1" x14ac:dyDescent="0.2">
      <c r="A11" s="100" t="s">
        <v>154</v>
      </c>
      <c r="B11" s="176" t="s">
        <v>205</v>
      </c>
      <c r="C11" s="172"/>
      <c r="D11" s="172"/>
      <c r="E11" s="173"/>
      <c r="L11" s="111" t="str">
        <f>IF(N14&gt;0,"lediglich Fehleingaben vermeiden wollen.","")</f>
        <v/>
      </c>
    </row>
    <row r="12" spans="1:22" ht="15" customHeight="1" x14ac:dyDescent="0.2">
      <c r="A12" s="100" t="s">
        <v>155</v>
      </c>
      <c r="B12" s="171" t="s">
        <v>206</v>
      </c>
      <c r="C12" s="172"/>
      <c r="D12" s="172"/>
      <c r="E12" s="173"/>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row>
    <row r="14" spans="1:22" ht="15" customHeight="1" x14ac:dyDescent="0.2">
      <c r="N14" s="101">
        <f>COUNTIF(X22:X$44,1)</f>
        <v>0</v>
      </c>
      <c r="O14" s="3" t="str">
        <f>IF(N14&gt;0,"Wert(e) prüfen.","")</f>
        <v/>
      </c>
      <c r="S14" s="103">
        <f>IF(COUNTA($S$22:$S$44)-COUNTBLANK($S$22:$S$44)=0,"",COUNTA($S$22:$S$44)-COUNTBLANK($S$22:$S$44))</f>
        <v>23</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134</v>
      </c>
    </row>
    <row r="21" spans="1:24" ht="29.1" customHeight="1" x14ac:dyDescent="0.2">
      <c r="A21" s="104" t="s">
        <v>119</v>
      </c>
      <c r="B21" s="12"/>
      <c r="C21" s="12"/>
      <c r="D21" s="12"/>
      <c r="E21" s="12"/>
      <c r="F21" s="12"/>
      <c r="G21" s="105">
        <f>SUM($G$22:$G$44)</f>
        <v>1622.9900000000002</v>
      </c>
      <c r="H21" s="105">
        <f>SUM($H$22:$H$44)</f>
        <v>0</v>
      </c>
      <c r="I21" s="105">
        <f>SUM($I$22:$I$44)</f>
        <v>3</v>
      </c>
      <c r="J21" s="43"/>
      <c r="K21" s="43"/>
      <c r="L21" s="106">
        <f>MAX(L22:L44)</f>
        <v>1</v>
      </c>
      <c r="M21" s="105">
        <f>SUM($M$22:$M$44)</f>
        <v>1622.9900000000002</v>
      </c>
      <c r="N21" s="43"/>
      <c r="O21" s="43"/>
      <c r="P21" s="105">
        <f>SUM($P$22:$P$44)</f>
        <v>0</v>
      </c>
      <c r="Q21" s="105">
        <f>SUM($Q$22:$Q$44)</f>
        <v>0</v>
      </c>
      <c r="R21" s="105">
        <f>ROUND(IF(Q21=0,0,Q21/L21),2)</f>
        <v>0</v>
      </c>
    </row>
    <row r="22" spans="1:24" ht="15" customHeight="1" x14ac:dyDescent="0.2">
      <c r="A22" s="96">
        <v>1</v>
      </c>
      <c r="B22" s="107"/>
      <c r="C22" s="108" t="s">
        <v>233</v>
      </c>
      <c r="D22" s="108"/>
      <c r="E22" s="108" t="s">
        <v>264</v>
      </c>
      <c r="F22" s="108" t="s">
        <v>265</v>
      </c>
      <c r="G22" s="109">
        <v>1050.8</v>
      </c>
      <c r="H22" s="109"/>
      <c r="I22" s="109"/>
      <c r="J22" s="96" t="s">
        <v>283</v>
      </c>
      <c r="K22" s="96" t="s">
        <v>143</v>
      </c>
      <c r="L22" s="43">
        <f>VLOOKUP(K22,Reinigungstage!A10:E31,5,FALSE)</f>
        <v>1</v>
      </c>
      <c r="M22" s="43">
        <f t="shared" ref="M22:M44" si="0">ROUND(IF(L22=0,0,L22*G22),2)</f>
        <v>1050.8</v>
      </c>
      <c r="N22" s="110">
        <f t="shared" ref="N22:N44" si="1">VLOOKUP(J22,$G$4:$H$9,2,FALSE)</f>
        <v>0</v>
      </c>
      <c r="O22" s="43">
        <f ca="1">IF('SVS GrundRG'!H61="",0,'SVS GrundRG'!H61)</f>
        <v>0</v>
      </c>
      <c r="P22" s="43">
        <f t="shared" ref="P22:P44" si="2">ROUND(IF(N22=0,0,M22/N22),2)</f>
        <v>0</v>
      </c>
      <c r="Q22" s="43">
        <f t="shared" ref="Q22:Q44" si="3">ROUND(IF(P22=0,0,P22*O22),2)</f>
        <v>0</v>
      </c>
      <c r="R22" s="43">
        <f t="shared" ref="R22:R44" si="4">ROUND(IF(P22=0,0,Q22/L22),2)</f>
        <v>0</v>
      </c>
      <c r="S22" s="3" t="str">
        <f t="shared" ref="S22:S44" si="5">IF(M22=0,"",IF(N22=0,"Leistungswert eintragen",IF(O22=0,"SVS prüfen","")))</f>
        <v>Leistungswert eintragen</v>
      </c>
      <c r="U22" s="3">
        <f t="shared" ref="U22:U44" si="6">VLOOKUP(J22,$U$4:$V$10,2,FALSE)</f>
        <v>25.5</v>
      </c>
      <c r="V22" s="3">
        <f t="shared" ref="V22:V44" si="7">U22*30%</f>
        <v>7.6499999999999995</v>
      </c>
      <c r="W22" s="3">
        <f t="shared" ref="W22:W44" si="8">SUM(U22:V22)</f>
        <v>33.15</v>
      </c>
      <c r="X22" s="3" t="str">
        <f t="shared" ref="X22:X44" si="9">IF(N22=0,"",IF(W22&lt;N22,1,IF(W22&gt;=N22,0,"")))</f>
        <v/>
      </c>
    </row>
    <row r="23" spans="1:24" ht="15" customHeight="1" x14ac:dyDescent="0.2">
      <c r="A23" s="96">
        <v>2</v>
      </c>
      <c r="B23" s="107"/>
      <c r="C23" s="108" t="s">
        <v>233</v>
      </c>
      <c r="D23" s="108"/>
      <c r="E23" s="108" t="s">
        <v>266</v>
      </c>
      <c r="F23" s="108" t="s">
        <v>231</v>
      </c>
      <c r="G23" s="109">
        <v>260.47000000000003</v>
      </c>
      <c r="H23" s="109"/>
      <c r="I23" s="109"/>
      <c r="J23" s="96" t="s">
        <v>262</v>
      </c>
      <c r="K23" s="96" t="s">
        <v>143</v>
      </c>
      <c r="L23" s="43">
        <f>VLOOKUP(K23,Reinigungstage!A10:E31,5,FALSE)</f>
        <v>1</v>
      </c>
      <c r="M23" s="43">
        <f t="shared" si="0"/>
        <v>260.47000000000003</v>
      </c>
      <c r="N23" s="110">
        <f t="shared" si="1"/>
        <v>0</v>
      </c>
      <c r="O23" s="43">
        <f ca="1">IF('SVS GrundRG'!H61="",0,'SVS GrundRG'!H61)</f>
        <v>0</v>
      </c>
      <c r="P23" s="43">
        <f t="shared" si="2"/>
        <v>0</v>
      </c>
      <c r="Q23" s="43">
        <f t="shared" si="3"/>
        <v>0</v>
      </c>
      <c r="R23" s="43">
        <f t="shared" si="4"/>
        <v>0</v>
      </c>
      <c r="S23" s="3" t="str">
        <f t="shared" si="5"/>
        <v>Leistungswert eintragen</v>
      </c>
      <c r="U23" s="3">
        <f t="shared" si="6"/>
        <v>20</v>
      </c>
      <c r="V23" s="3">
        <f t="shared" si="7"/>
        <v>6</v>
      </c>
      <c r="W23" s="3">
        <f t="shared" si="8"/>
        <v>26</v>
      </c>
      <c r="X23" s="3" t="str">
        <f t="shared" si="9"/>
        <v/>
      </c>
    </row>
    <row r="24" spans="1:24" ht="15" customHeight="1" x14ac:dyDescent="0.2">
      <c r="A24" s="96">
        <v>3</v>
      </c>
      <c r="B24" s="107"/>
      <c r="C24" s="108" t="s">
        <v>233</v>
      </c>
      <c r="D24" s="108"/>
      <c r="E24" s="108" t="s">
        <v>267</v>
      </c>
      <c r="F24" s="108" t="s">
        <v>218</v>
      </c>
      <c r="G24" s="109">
        <v>75.41</v>
      </c>
      <c r="H24" s="109"/>
      <c r="I24" s="109"/>
      <c r="J24" s="96" t="s">
        <v>262</v>
      </c>
      <c r="K24" s="96" t="s">
        <v>143</v>
      </c>
      <c r="L24" s="43">
        <f>VLOOKUP(K24,Reinigungstage!A10:E31,5,FALSE)</f>
        <v>1</v>
      </c>
      <c r="M24" s="43">
        <f t="shared" si="0"/>
        <v>75.41</v>
      </c>
      <c r="N24" s="110">
        <f t="shared" si="1"/>
        <v>0</v>
      </c>
      <c r="O24" s="43">
        <f ca="1">IF('SVS GrundRG'!H61="",0,'SVS GrundRG'!H61)</f>
        <v>0</v>
      </c>
      <c r="P24" s="43">
        <f t="shared" si="2"/>
        <v>0</v>
      </c>
      <c r="Q24" s="43">
        <f t="shared" si="3"/>
        <v>0</v>
      </c>
      <c r="R24" s="43">
        <f t="shared" si="4"/>
        <v>0</v>
      </c>
      <c r="S24" s="3" t="str">
        <f t="shared" si="5"/>
        <v>Leistungswert eintragen</v>
      </c>
      <c r="U24" s="3">
        <f t="shared" si="6"/>
        <v>20</v>
      </c>
      <c r="V24" s="3">
        <f t="shared" si="7"/>
        <v>6</v>
      </c>
      <c r="W24" s="3">
        <f t="shared" si="8"/>
        <v>26</v>
      </c>
      <c r="X24" s="3" t="str">
        <f t="shared" si="9"/>
        <v/>
      </c>
    </row>
    <row r="25" spans="1:24" ht="15" customHeight="1" x14ac:dyDescent="0.2">
      <c r="A25" s="96">
        <v>4</v>
      </c>
      <c r="B25" s="107"/>
      <c r="C25" s="108" t="s">
        <v>233</v>
      </c>
      <c r="D25" s="108"/>
      <c r="E25" s="108" t="s">
        <v>267</v>
      </c>
      <c r="F25" s="108" t="s">
        <v>218</v>
      </c>
      <c r="G25" s="109">
        <v>21.54</v>
      </c>
      <c r="H25" s="109"/>
      <c r="I25" s="109"/>
      <c r="J25" s="96" t="s">
        <v>262</v>
      </c>
      <c r="K25" s="96" t="s">
        <v>143</v>
      </c>
      <c r="L25" s="43">
        <f>VLOOKUP(K25,Reinigungstage!A10:E31,5,FALSE)</f>
        <v>1</v>
      </c>
      <c r="M25" s="43">
        <f t="shared" si="0"/>
        <v>21.54</v>
      </c>
      <c r="N25" s="110">
        <f t="shared" si="1"/>
        <v>0</v>
      </c>
      <c r="O25" s="43">
        <f ca="1">IF('SVS GrundRG'!H61="",0,'SVS GrundRG'!H61)</f>
        <v>0</v>
      </c>
      <c r="P25" s="43">
        <f t="shared" si="2"/>
        <v>0</v>
      </c>
      <c r="Q25" s="43">
        <f t="shared" si="3"/>
        <v>0</v>
      </c>
      <c r="R25" s="43">
        <f t="shared" si="4"/>
        <v>0</v>
      </c>
      <c r="S25" s="3" t="str">
        <f t="shared" si="5"/>
        <v>Leistungswert eintragen</v>
      </c>
      <c r="U25" s="3">
        <f t="shared" si="6"/>
        <v>20</v>
      </c>
      <c r="V25" s="3">
        <f t="shared" si="7"/>
        <v>6</v>
      </c>
      <c r="W25" s="3">
        <f t="shared" si="8"/>
        <v>26</v>
      </c>
      <c r="X25" s="3" t="str">
        <f t="shared" si="9"/>
        <v/>
      </c>
    </row>
    <row r="26" spans="1:24" ht="15" customHeight="1" x14ac:dyDescent="0.2">
      <c r="A26" s="96">
        <v>5</v>
      </c>
      <c r="B26" s="107"/>
      <c r="C26" s="108" t="s">
        <v>233</v>
      </c>
      <c r="D26" s="108"/>
      <c r="E26" s="108" t="s">
        <v>269</v>
      </c>
      <c r="F26" s="108" t="s">
        <v>218</v>
      </c>
      <c r="G26" s="109">
        <v>41.26</v>
      </c>
      <c r="H26" s="109"/>
      <c r="I26" s="109">
        <v>2</v>
      </c>
      <c r="J26" s="96" t="s">
        <v>261</v>
      </c>
      <c r="K26" s="96" t="s">
        <v>143</v>
      </c>
      <c r="L26" s="43">
        <f>VLOOKUP(K26,Reinigungstage!A10:E31,5,FALSE)</f>
        <v>1</v>
      </c>
      <c r="M26" s="43">
        <f t="shared" si="0"/>
        <v>41.26</v>
      </c>
      <c r="N26" s="110">
        <f t="shared" si="1"/>
        <v>0</v>
      </c>
      <c r="O26" s="43">
        <f ca="1">IF('SVS GrundRG'!H61="",0,'SVS GrundRG'!H61)</f>
        <v>0</v>
      </c>
      <c r="P26" s="43">
        <f t="shared" si="2"/>
        <v>0</v>
      </c>
      <c r="Q26" s="43">
        <f t="shared" si="3"/>
        <v>0</v>
      </c>
      <c r="R26" s="43">
        <f t="shared" si="4"/>
        <v>0</v>
      </c>
      <c r="S26" s="3" t="str">
        <f t="shared" si="5"/>
        <v>Leistungswert eintragen</v>
      </c>
      <c r="U26" s="3">
        <f t="shared" si="6"/>
        <v>15</v>
      </c>
      <c r="V26" s="3">
        <f t="shared" si="7"/>
        <v>4.5</v>
      </c>
      <c r="W26" s="3">
        <f t="shared" si="8"/>
        <v>19.5</v>
      </c>
      <c r="X26" s="3" t="str">
        <f t="shared" si="9"/>
        <v/>
      </c>
    </row>
    <row r="27" spans="1:24" ht="15" customHeight="1" x14ac:dyDescent="0.2">
      <c r="A27" s="96">
        <v>6</v>
      </c>
      <c r="B27" s="107"/>
      <c r="C27" s="108" t="s">
        <v>233</v>
      </c>
      <c r="D27" s="108"/>
      <c r="E27" s="108" t="s">
        <v>270</v>
      </c>
      <c r="F27" s="108" t="s">
        <v>218</v>
      </c>
      <c r="G27" s="109">
        <v>2.86</v>
      </c>
      <c r="H27" s="109"/>
      <c r="I27" s="109"/>
      <c r="J27" s="96" t="s">
        <v>259</v>
      </c>
      <c r="K27" s="96" t="s">
        <v>143</v>
      </c>
      <c r="L27" s="43">
        <f>VLOOKUP(K27,Reinigungstage!A10:E31,5,FALSE)</f>
        <v>1</v>
      </c>
      <c r="M27" s="43">
        <f t="shared" si="0"/>
        <v>2.86</v>
      </c>
      <c r="N27" s="110">
        <f t="shared" si="1"/>
        <v>0</v>
      </c>
      <c r="O27" s="43">
        <f ca="1">IF('SVS GrundRG'!H61="",0,'SVS GrundRG'!H61)</f>
        <v>0</v>
      </c>
      <c r="P27" s="43">
        <f t="shared" si="2"/>
        <v>0</v>
      </c>
      <c r="Q27" s="43">
        <f t="shared" si="3"/>
        <v>0</v>
      </c>
      <c r="R27" s="43">
        <f t="shared" si="4"/>
        <v>0</v>
      </c>
      <c r="S27" s="3" t="str">
        <f t="shared" si="5"/>
        <v>Leistungswert eintragen</v>
      </c>
      <c r="U27" s="3">
        <f t="shared" si="6"/>
        <v>7</v>
      </c>
      <c r="V27" s="3">
        <f t="shared" si="7"/>
        <v>2.1</v>
      </c>
      <c r="W27" s="3">
        <f t="shared" si="8"/>
        <v>9.1</v>
      </c>
      <c r="X27" s="3" t="str">
        <f t="shared" si="9"/>
        <v/>
      </c>
    </row>
    <row r="28" spans="1:24" ht="15" customHeight="1" x14ac:dyDescent="0.2">
      <c r="A28" s="96">
        <v>7</v>
      </c>
      <c r="B28" s="107"/>
      <c r="C28" s="108" t="s">
        <v>233</v>
      </c>
      <c r="D28" s="108"/>
      <c r="E28" s="108" t="s">
        <v>271</v>
      </c>
      <c r="F28" s="108" t="s">
        <v>218</v>
      </c>
      <c r="G28" s="109">
        <v>2.78</v>
      </c>
      <c r="H28" s="109"/>
      <c r="I28" s="109"/>
      <c r="J28" s="96" t="s">
        <v>259</v>
      </c>
      <c r="K28" s="96" t="s">
        <v>143</v>
      </c>
      <c r="L28" s="43">
        <f>VLOOKUP(K28,Reinigungstage!A10:E31,5,FALSE)</f>
        <v>1</v>
      </c>
      <c r="M28" s="43">
        <f t="shared" si="0"/>
        <v>2.78</v>
      </c>
      <c r="N28" s="110">
        <f t="shared" si="1"/>
        <v>0</v>
      </c>
      <c r="O28" s="43">
        <f ca="1">IF('SVS GrundRG'!H61="",0,'SVS GrundRG'!H61)</f>
        <v>0</v>
      </c>
      <c r="P28" s="43">
        <f t="shared" si="2"/>
        <v>0</v>
      </c>
      <c r="Q28" s="43">
        <f t="shared" si="3"/>
        <v>0</v>
      </c>
      <c r="R28" s="43">
        <f t="shared" si="4"/>
        <v>0</v>
      </c>
      <c r="S28" s="3" t="str">
        <f t="shared" si="5"/>
        <v>Leistungswert eintragen</v>
      </c>
      <c r="U28" s="3">
        <f t="shared" si="6"/>
        <v>7</v>
      </c>
      <c r="V28" s="3">
        <f t="shared" si="7"/>
        <v>2.1</v>
      </c>
      <c r="W28" s="3">
        <f t="shared" si="8"/>
        <v>9.1</v>
      </c>
      <c r="X28" s="3" t="str">
        <f t="shared" si="9"/>
        <v/>
      </c>
    </row>
    <row r="29" spans="1:24" ht="15" customHeight="1" x14ac:dyDescent="0.2">
      <c r="A29" s="96">
        <v>8</v>
      </c>
      <c r="B29" s="107" t="s">
        <v>272</v>
      </c>
      <c r="C29" s="108" t="s">
        <v>233</v>
      </c>
      <c r="D29" s="108"/>
      <c r="E29" s="108" t="s">
        <v>273</v>
      </c>
      <c r="F29" s="108" t="s">
        <v>218</v>
      </c>
      <c r="G29" s="109">
        <v>18.36</v>
      </c>
      <c r="H29" s="109"/>
      <c r="I29" s="109"/>
      <c r="J29" s="96" t="s">
        <v>273</v>
      </c>
      <c r="K29" s="96" t="s">
        <v>143</v>
      </c>
      <c r="L29" s="43">
        <f>VLOOKUP(K29,Reinigungstage!A10:E31,5,FALSE)</f>
        <v>1</v>
      </c>
      <c r="M29" s="43">
        <f t="shared" si="0"/>
        <v>18.36</v>
      </c>
      <c r="N29" s="110">
        <f t="shared" si="1"/>
        <v>0</v>
      </c>
      <c r="O29" s="43">
        <f ca="1">IF('SVS GrundRG'!H61="",0,'SVS GrundRG'!H61)</f>
        <v>0</v>
      </c>
      <c r="P29" s="43">
        <f t="shared" si="2"/>
        <v>0</v>
      </c>
      <c r="Q29" s="43">
        <f t="shared" si="3"/>
        <v>0</v>
      </c>
      <c r="R29" s="43">
        <f t="shared" si="4"/>
        <v>0</v>
      </c>
      <c r="S29" s="3" t="str">
        <f t="shared" si="5"/>
        <v>Leistungswert eintragen</v>
      </c>
      <c r="U29" s="3">
        <f t="shared" si="6"/>
        <v>16.5</v>
      </c>
      <c r="V29" s="3">
        <f t="shared" si="7"/>
        <v>4.95</v>
      </c>
      <c r="W29" s="3">
        <f t="shared" si="8"/>
        <v>21.45</v>
      </c>
      <c r="X29" s="3" t="str">
        <f t="shared" si="9"/>
        <v/>
      </c>
    </row>
    <row r="30" spans="1:24" ht="15" customHeight="1" x14ac:dyDescent="0.2">
      <c r="A30" s="96">
        <v>9</v>
      </c>
      <c r="B30" s="107"/>
      <c r="C30" s="108" t="s">
        <v>233</v>
      </c>
      <c r="D30" s="108"/>
      <c r="E30" s="108" t="s">
        <v>274</v>
      </c>
      <c r="F30" s="108" t="s">
        <v>220</v>
      </c>
      <c r="G30" s="109">
        <v>9.66</v>
      </c>
      <c r="H30" s="109"/>
      <c r="I30" s="109"/>
      <c r="J30" s="96" t="s">
        <v>259</v>
      </c>
      <c r="K30" s="96" t="s">
        <v>143</v>
      </c>
      <c r="L30" s="43">
        <f>VLOOKUP(K30,Reinigungstage!A10:E31,5,FALSE)</f>
        <v>1</v>
      </c>
      <c r="M30" s="43">
        <f t="shared" si="0"/>
        <v>9.66</v>
      </c>
      <c r="N30" s="110">
        <f t="shared" si="1"/>
        <v>0</v>
      </c>
      <c r="O30" s="43">
        <f ca="1">IF('SVS GrundRG'!H61="",0,'SVS GrundRG'!H61)</f>
        <v>0</v>
      </c>
      <c r="P30" s="43">
        <f t="shared" si="2"/>
        <v>0</v>
      </c>
      <c r="Q30" s="43">
        <f t="shared" si="3"/>
        <v>0</v>
      </c>
      <c r="R30" s="43">
        <f t="shared" si="4"/>
        <v>0</v>
      </c>
      <c r="S30" s="3" t="str">
        <f t="shared" si="5"/>
        <v>Leistungswert eintragen</v>
      </c>
      <c r="U30" s="3">
        <f t="shared" si="6"/>
        <v>7</v>
      </c>
      <c r="V30" s="3">
        <f t="shared" si="7"/>
        <v>2.1</v>
      </c>
      <c r="W30" s="3">
        <f t="shared" si="8"/>
        <v>9.1</v>
      </c>
      <c r="X30" s="3" t="str">
        <f t="shared" si="9"/>
        <v/>
      </c>
    </row>
    <row r="31" spans="1:24" ht="15" customHeight="1" x14ac:dyDescent="0.2">
      <c r="A31" s="96">
        <v>10</v>
      </c>
      <c r="B31" s="107"/>
      <c r="C31" s="108" t="s">
        <v>233</v>
      </c>
      <c r="D31" s="108"/>
      <c r="E31" s="108" t="s">
        <v>219</v>
      </c>
      <c r="F31" s="108" t="s">
        <v>220</v>
      </c>
      <c r="G31" s="109">
        <v>2.17</v>
      </c>
      <c r="H31" s="109"/>
      <c r="I31" s="109"/>
      <c r="J31" s="96" t="s">
        <v>259</v>
      </c>
      <c r="K31" s="96" t="s">
        <v>143</v>
      </c>
      <c r="L31" s="43">
        <f>VLOOKUP(K31,Reinigungstage!A10:E31,5,FALSE)</f>
        <v>1</v>
      </c>
      <c r="M31" s="43">
        <f t="shared" si="0"/>
        <v>2.17</v>
      </c>
      <c r="N31" s="110">
        <f t="shared" si="1"/>
        <v>0</v>
      </c>
      <c r="O31" s="43">
        <f ca="1">IF('SVS GrundRG'!H61="",0,'SVS GrundRG'!H61)</f>
        <v>0</v>
      </c>
      <c r="P31" s="43">
        <f t="shared" si="2"/>
        <v>0</v>
      </c>
      <c r="Q31" s="43">
        <f t="shared" si="3"/>
        <v>0</v>
      </c>
      <c r="R31" s="43">
        <f t="shared" si="4"/>
        <v>0</v>
      </c>
      <c r="S31" s="3" t="str">
        <f t="shared" si="5"/>
        <v>Leistungswert eintragen</v>
      </c>
      <c r="U31" s="3">
        <f t="shared" si="6"/>
        <v>7</v>
      </c>
      <c r="V31" s="3">
        <f t="shared" si="7"/>
        <v>2.1</v>
      </c>
      <c r="W31" s="3">
        <f t="shared" si="8"/>
        <v>9.1</v>
      </c>
      <c r="X31" s="3" t="str">
        <f t="shared" si="9"/>
        <v/>
      </c>
    </row>
    <row r="32" spans="1:24" ht="15" customHeight="1" x14ac:dyDescent="0.2">
      <c r="A32" s="96">
        <v>11</v>
      </c>
      <c r="B32" s="107" t="s">
        <v>275</v>
      </c>
      <c r="C32" s="108" t="s">
        <v>233</v>
      </c>
      <c r="D32" s="108"/>
      <c r="E32" s="108" t="s">
        <v>274</v>
      </c>
      <c r="F32" s="108" t="s">
        <v>220</v>
      </c>
      <c r="G32" s="109">
        <v>4.28</v>
      </c>
      <c r="H32" s="109"/>
      <c r="I32" s="109"/>
      <c r="J32" s="96" t="s">
        <v>259</v>
      </c>
      <c r="K32" s="96" t="s">
        <v>143</v>
      </c>
      <c r="L32" s="43">
        <f>VLOOKUP(K32,Reinigungstage!A10:E31,5,FALSE)</f>
        <v>1</v>
      </c>
      <c r="M32" s="43">
        <f t="shared" si="0"/>
        <v>4.28</v>
      </c>
      <c r="N32" s="110">
        <f t="shared" si="1"/>
        <v>0</v>
      </c>
      <c r="O32" s="43">
        <f ca="1">IF('SVS GrundRG'!H61="",0,'SVS GrundRG'!H61)</f>
        <v>0</v>
      </c>
      <c r="P32" s="43">
        <f t="shared" si="2"/>
        <v>0</v>
      </c>
      <c r="Q32" s="43">
        <f t="shared" si="3"/>
        <v>0</v>
      </c>
      <c r="R32" s="43">
        <f t="shared" si="4"/>
        <v>0</v>
      </c>
      <c r="S32" s="3" t="str">
        <f t="shared" si="5"/>
        <v>Leistungswert eintragen</v>
      </c>
      <c r="U32" s="3">
        <f t="shared" si="6"/>
        <v>7</v>
      </c>
      <c r="V32" s="3">
        <f t="shared" si="7"/>
        <v>2.1</v>
      </c>
      <c r="W32" s="3">
        <f t="shared" si="8"/>
        <v>9.1</v>
      </c>
      <c r="X32" s="3" t="str">
        <f t="shared" si="9"/>
        <v/>
      </c>
    </row>
    <row r="33" spans="1:24" ht="15" customHeight="1" x14ac:dyDescent="0.2">
      <c r="A33" s="96">
        <v>12</v>
      </c>
      <c r="B33" s="107" t="s">
        <v>276</v>
      </c>
      <c r="C33" s="108" t="s">
        <v>233</v>
      </c>
      <c r="D33" s="108"/>
      <c r="E33" s="108" t="s">
        <v>273</v>
      </c>
      <c r="F33" s="108" t="s">
        <v>218</v>
      </c>
      <c r="G33" s="109">
        <v>18.18</v>
      </c>
      <c r="H33" s="109"/>
      <c r="I33" s="109"/>
      <c r="J33" s="96" t="s">
        <v>273</v>
      </c>
      <c r="K33" s="96" t="s">
        <v>143</v>
      </c>
      <c r="L33" s="43">
        <f>VLOOKUP(K33,Reinigungstage!A10:E31,5,FALSE)</f>
        <v>1</v>
      </c>
      <c r="M33" s="43">
        <f t="shared" si="0"/>
        <v>18.18</v>
      </c>
      <c r="N33" s="110">
        <f t="shared" si="1"/>
        <v>0</v>
      </c>
      <c r="O33" s="43">
        <f ca="1">IF('SVS GrundRG'!H61="",0,'SVS GrundRG'!H61)</f>
        <v>0</v>
      </c>
      <c r="P33" s="43">
        <f t="shared" si="2"/>
        <v>0</v>
      </c>
      <c r="Q33" s="43">
        <f t="shared" si="3"/>
        <v>0</v>
      </c>
      <c r="R33" s="43">
        <f t="shared" si="4"/>
        <v>0</v>
      </c>
      <c r="S33" s="3" t="str">
        <f t="shared" si="5"/>
        <v>Leistungswert eintragen</v>
      </c>
      <c r="U33" s="3">
        <f t="shared" si="6"/>
        <v>16.5</v>
      </c>
      <c r="V33" s="3">
        <f t="shared" si="7"/>
        <v>4.95</v>
      </c>
      <c r="W33" s="3">
        <f t="shared" si="8"/>
        <v>21.45</v>
      </c>
      <c r="X33" s="3" t="str">
        <f t="shared" si="9"/>
        <v/>
      </c>
    </row>
    <row r="34" spans="1:24" ht="15" customHeight="1" x14ac:dyDescent="0.2">
      <c r="A34" s="96">
        <v>13</v>
      </c>
      <c r="B34" s="107" t="s">
        <v>276</v>
      </c>
      <c r="C34" s="108" t="s">
        <v>233</v>
      </c>
      <c r="D34" s="108"/>
      <c r="E34" s="108" t="s">
        <v>274</v>
      </c>
      <c r="F34" s="108" t="s">
        <v>220</v>
      </c>
      <c r="G34" s="109">
        <v>9.66</v>
      </c>
      <c r="H34" s="109"/>
      <c r="I34" s="109"/>
      <c r="J34" s="96" t="s">
        <v>259</v>
      </c>
      <c r="K34" s="96" t="s">
        <v>143</v>
      </c>
      <c r="L34" s="43">
        <f>VLOOKUP(K34,Reinigungstage!A10:E31,5,FALSE)</f>
        <v>1</v>
      </c>
      <c r="M34" s="43">
        <f t="shared" si="0"/>
        <v>9.66</v>
      </c>
      <c r="N34" s="110">
        <f t="shared" si="1"/>
        <v>0</v>
      </c>
      <c r="O34" s="43">
        <f ca="1">IF('SVS GrundRG'!H61="",0,'SVS GrundRG'!H61)</f>
        <v>0</v>
      </c>
      <c r="P34" s="43">
        <f t="shared" si="2"/>
        <v>0</v>
      </c>
      <c r="Q34" s="43">
        <f t="shared" si="3"/>
        <v>0</v>
      </c>
      <c r="R34" s="43">
        <f t="shared" si="4"/>
        <v>0</v>
      </c>
      <c r="S34" s="3" t="str">
        <f t="shared" si="5"/>
        <v>Leistungswert eintragen</v>
      </c>
      <c r="U34" s="3">
        <f t="shared" si="6"/>
        <v>7</v>
      </c>
      <c r="V34" s="3">
        <f t="shared" si="7"/>
        <v>2.1</v>
      </c>
      <c r="W34" s="3">
        <f t="shared" si="8"/>
        <v>9.1</v>
      </c>
      <c r="X34" s="3" t="str">
        <f t="shared" si="9"/>
        <v/>
      </c>
    </row>
    <row r="35" spans="1:24" ht="15" customHeight="1" x14ac:dyDescent="0.2">
      <c r="A35" s="96">
        <v>14</v>
      </c>
      <c r="B35" s="107" t="s">
        <v>276</v>
      </c>
      <c r="C35" s="108" t="s">
        <v>233</v>
      </c>
      <c r="D35" s="108"/>
      <c r="E35" s="108" t="s">
        <v>219</v>
      </c>
      <c r="F35" s="108" t="s">
        <v>220</v>
      </c>
      <c r="G35" s="109">
        <v>2.17</v>
      </c>
      <c r="H35" s="109"/>
      <c r="I35" s="109"/>
      <c r="J35" s="96" t="s">
        <v>259</v>
      </c>
      <c r="K35" s="96" t="s">
        <v>143</v>
      </c>
      <c r="L35" s="43">
        <f>VLOOKUP(K35,Reinigungstage!A10:E31,5,FALSE)</f>
        <v>1</v>
      </c>
      <c r="M35" s="43">
        <f t="shared" si="0"/>
        <v>2.17</v>
      </c>
      <c r="N35" s="110">
        <f t="shared" si="1"/>
        <v>0</v>
      </c>
      <c r="O35" s="43">
        <f ca="1">IF('SVS GrundRG'!H61="",0,'SVS GrundRG'!H61)</f>
        <v>0</v>
      </c>
      <c r="P35" s="43">
        <f t="shared" si="2"/>
        <v>0</v>
      </c>
      <c r="Q35" s="43">
        <f t="shared" si="3"/>
        <v>0</v>
      </c>
      <c r="R35" s="43">
        <f t="shared" si="4"/>
        <v>0</v>
      </c>
      <c r="S35" s="3" t="str">
        <f t="shared" si="5"/>
        <v>Leistungswert eintragen</v>
      </c>
      <c r="U35" s="3">
        <f t="shared" si="6"/>
        <v>7</v>
      </c>
      <c r="V35" s="3">
        <f t="shared" si="7"/>
        <v>2.1</v>
      </c>
      <c r="W35" s="3">
        <f t="shared" si="8"/>
        <v>9.1</v>
      </c>
      <c r="X35" s="3" t="str">
        <f t="shared" si="9"/>
        <v/>
      </c>
    </row>
    <row r="36" spans="1:24" ht="15" customHeight="1" x14ac:dyDescent="0.2">
      <c r="A36" s="96">
        <v>15</v>
      </c>
      <c r="B36" s="107" t="s">
        <v>277</v>
      </c>
      <c r="C36" s="108" t="s">
        <v>233</v>
      </c>
      <c r="D36" s="108"/>
      <c r="E36" s="108" t="s">
        <v>273</v>
      </c>
      <c r="F36" s="108" t="s">
        <v>218</v>
      </c>
      <c r="G36" s="109">
        <v>18.36</v>
      </c>
      <c r="H36" s="109"/>
      <c r="I36" s="109"/>
      <c r="J36" s="96" t="s">
        <v>273</v>
      </c>
      <c r="K36" s="96" t="s">
        <v>143</v>
      </c>
      <c r="L36" s="43">
        <f>VLOOKUP(K36,Reinigungstage!A10:E31,5,FALSE)</f>
        <v>1</v>
      </c>
      <c r="M36" s="43">
        <f t="shared" si="0"/>
        <v>18.36</v>
      </c>
      <c r="N36" s="110">
        <f t="shared" si="1"/>
        <v>0</v>
      </c>
      <c r="O36" s="43">
        <f ca="1">IF('SVS GrundRG'!H61="",0,'SVS GrundRG'!H61)</f>
        <v>0</v>
      </c>
      <c r="P36" s="43">
        <f t="shared" si="2"/>
        <v>0</v>
      </c>
      <c r="Q36" s="43">
        <f t="shared" si="3"/>
        <v>0</v>
      </c>
      <c r="R36" s="43">
        <f t="shared" si="4"/>
        <v>0</v>
      </c>
      <c r="S36" s="3" t="str">
        <f t="shared" si="5"/>
        <v>Leistungswert eintragen</v>
      </c>
      <c r="U36" s="3">
        <f t="shared" si="6"/>
        <v>16.5</v>
      </c>
      <c r="V36" s="3">
        <f t="shared" si="7"/>
        <v>4.95</v>
      </c>
      <c r="W36" s="3">
        <f t="shared" si="8"/>
        <v>21.45</v>
      </c>
      <c r="X36" s="3" t="str">
        <f t="shared" si="9"/>
        <v/>
      </c>
    </row>
    <row r="37" spans="1:24" ht="15" customHeight="1" x14ac:dyDescent="0.2">
      <c r="A37" s="96">
        <v>16</v>
      </c>
      <c r="B37" s="107"/>
      <c r="C37" s="108" t="s">
        <v>233</v>
      </c>
      <c r="D37" s="108"/>
      <c r="E37" s="108" t="s">
        <v>219</v>
      </c>
      <c r="F37" s="108" t="s">
        <v>220</v>
      </c>
      <c r="G37" s="109">
        <v>2.1800000000000002</v>
      </c>
      <c r="H37" s="109"/>
      <c r="I37" s="109"/>
      <c r="J37" s="96" t="s">
        <v>259</v>
      </c>
      <c r="K37" s="96" t="s">
        <v>143</v>
      </c>
      <c r="L37" s="43">
        <f>VLOOKUP(K37,Reinigungstage!A10:E31,5,FALSE)</f>
        <v>1</v>
      </c>
      <c r="M37" s="43">
        <f t="shared" si="0"/>
        <v>2.1800000000000002</v>
      </c>
      <c r="N37" s="110">
        <f t="shared" si="1"/>
        <v>0</v>
      </c>
      <c r="O37" s="43">
        <f ca="1">IF('SVS GrundRG'!H61="",0,'SVS GrundRG'!H61)</f>
        <v>0</v>
      </c>
      <c r="P37" s="43">
        <f t="shared" si="2"/>
        <v>0</v>
      </c>
      <c r="Q37" s="43">
        <f t="shared" si="3"/>
        <v>0</v>
      </c>
      <c r="R37" s="43">
        <f t="shared" si="4"/>
        <v>0</v>
      </c>
      <c r="S37" s="3" t="str">
        <f t="shared" si="5"/>
        <v>Leistungswert eintragen</v>
      </c>
      <c r="U37" s="3">
        <f t="shared" si="6"/>
        <v>7</v>
      </c>
      <c r="V37" s="3">
        <f t="shared" si="7"/>
        <v>2.1</v>
      </c>
      <c r="W37" s="3">
        <f t="shared" si="8"/>
        <v>9.1</v>
      </c>
      <c r="X37" s="3" t="str">
        <f t="shared" si="9"/>
        <v/>
      </c>
    </row>
    <row r="38" spans="1:24" ht="15" customHeight="1" x14ac:dyDescent="0.2">
      <c r="A38" s="96">
        <v>17</v>
      </c>
      <c r="B38" s="107"/>
      <c r="C38" s="108" t="s">
        <v>233</v>
      </c>
      <c r="D38" s="108"/>
      <c r="E38" s="108" t="s">
        <v>274</v>
      </c>
      <c r="F38" s="108" t="s">
        <v>220</v>
      </c>
      <c r="G38" s="109">
        <v>9.66</v>
      </c>
      <c r="H38" s="109"/>
      <c r="I38" s="109"/>
      <c r="J38" s="96" t="s">
        <v>259</v>
      </c>
      <c r="K38" s="96" t="s">
        <v>143</v>
      </c>
      <c r="L38" s="43">
        <f>VLOOKUP(K38,Reinigungstage!A10:E31,5,FALSE)</f>
        <v>1</v>
      </c>
      <c r="M38" s="43">
        <f t="shared" si="0"/>
        <v>9.66</v>
      </c>
      <c r="N38" s="110">
        <f t="shared" si="1"/>
        <v>0</v>
      </c>
      <c r="O38" s="43">
        <f ca="1">IF('SVS GrundRG'!H61="",0,'SVS GrundRG'!H61)</f>
        <v>0</v>
      </c>
      <c r="P38" s="43">
        <f t="shared" si="2"/>
        <v>0</v>
      </c>
      <c r="Q38" s="43">
        <f t="shared" si="3"/>
        <v>0</v>
      </c>
      <c r="R38" s="43">
        <f t="shared" si="4"/>
        <v>0</v>
      </c>
      <c r="S38" s="3" t="str">
        <f t="shared" si="5"/>
        <v>Leistungswert eintragen</v>
      </c>
      <c r="U38" s="3">
        <f t="shared" si="6"/>
        <v>7</v>
      </c>
      <c r="V38" s="3">
        <f t="shared" si="7"/>
        <v>2.1</v>
      </c>
      <c r="W38" s="3">
        <f t="shared" si="8"/>
        <v>9.1</v>
      </c>
      <c r="X38" s="3" t="str">
        <f t="shared" si="9"/>
        <v/>
      </c>
    </row>
    <row r="39" spans="1:24" ht="15" customHeight="1" x14ac:dyDescent="0.2">
      <c r="A39" s="96">
        <v>18</v>
      </c>
      <c r="B39" s="107" t="s">
        <v>278</v>
      </c>
      <c r="C39" s="108" t="s">
        <v>233</v>
      </c>
      <c r="D39" s="108"/>
      <c r="E39" s="108" t="s">
        <v>274</v>
      </c>
      <c r="F39" s="108" t="s">
        <v>220</v>
      </c>
      <c r="G39" s="109">
        <v>4.3099999999999996</v>
      </c>
      <c r="H39" s="109"/>
      <c r="I39" s="109"/>
      <c r="J39" s="96" t="s">
        <v>259</v>
      </c>
      <c r="K39" s="96" t="s">
        <v>143</v>
      </c>
      <c r="L39" s="43">
        <f>VLOOKUP(K39,Reinigungstage!A10:E31,5,FALSE)</f>
        <v>1</v>
      </c>
      <c r="M39" s="43">
        <f t="shared" si="0"/>
        <v>4.3099999999999996</v>
      </c>
      <c r="N39" s="110">
        <f t="shared" si="1"/>
        <v>0</v>
      </c>
      <c r="O39" s="43">
        <f ca="1">IF('SVS GrundRG'!H61="",0,'SVS GrundRG'!H61)</f>
        <v>0</v>
      </c>
      <c r="P39" s="43">
        <f t="shared" si="2"/>
        <v>0</v>
      </c>
      <c r="Q39" s="43">
        <f t="shared" si="3"/>
        <v>0</v>
      </c>
      <c r="R39" s="43">
        <f t="shared" si="4"/>
        <v>0</v>
      </c>
      <c r="S39" s="3" t="str">
        <f t="shared" si="5"/>
        <v>Leistungswert eintragen</v>
      </c>
      <c r="U39" s="3">
        <f t="shared" si="6"/>
        <v>7</v>
      </c>
      <c r="V39" s="3">
        <f t="shared" si="7"/>
        <v>2.1</v>
      </c>
      <c r="W39" s="3">
        <f t="shared" si="8"/>
        <v>9.1</v>
      </c>
      <c r="X39" s="3" t="str">
        <f t="shared" si="9"/>
        <v/>
      </c>
    </row>
    <row r="40" spans="1:24" ht="15" customHeight="1" x14ac:dyDescent="0.2">
      <c r="A40" s="96">
        <v>19</v>
      </c>
      <c r="B40" s="107" t="s">
        <v>279</v>
      </c>
      <c r="C40" s="108" t="s">
        <v>233</v>
      </c>
      <c r="D40" s="108"/>
      <c r="E40" s="108" t="s">
        <v>273</v>
      </c>
      <c r="F40" s="108" t="s">
        <v>218</v>
      </c>
      <c r="G40" s="109">
        <v>18.329999999999998</v>
      </c>
      <c r="H40" s="109"/>
      <c r="I40" s="109"/>
      <c r="J40" s="96" t="s">
        <v>273</v>
      </c>
      <c r="K40" s="96" t="s">
        <v>143</v>
      </c>
      <c r="L40" s="43">
        <f>VLOOKUP(K40,Reinigungstage!A10:E31,5,FALSE)</f>
        <v>1</v>
      </c>
      <c r="M40" s="43">
        <f t="shared" si="0"/>
        <v>18.329999999999998</v>
      </c>
      <c r="N40" s="110">
        <f t="shared" si="1"/>
        <v>0</v>
      </c>
      <c r="O40" s="43">
        <f ca="1">IF('SVS GrundRG'!H61="",0,'SVS GrundRG'!H61)</f>
        <v>0</v>
      </c>
      <c r="P40" s="43">
        <f t="shared" si="2"/>
        <v>0</v>
      </c>
      <c r="Q40" s="43">
        <f t="shared" si="3"/>
        <v>0</v>
      </c>
      <c r="R40" s="43">
        <f t="shared" si="4"/>
        <v>0</v>
      </c>
      <c r="S40" s="3" t="str">
        <f t="shared" si="5"/>
        <v>Leistungswert eintragen</v>
      </c>
      <c r="U40" s="3">
        <f t="shared" si="6"/>
        <v>16.5</v>
      </c>
      <c r="V40" s="3">
        <f t="shared" si="7"/>
        <v>4.95</v>
      </c>
      <c r="W40" s="3">
        <f t="shared" si="8"/>
        <v>21.45</v>
      </c>
      <c r="X40" s="3" t="str">
        <f t="shared" si="9"/>
        <v/>
      </c>
    </row>
    <row r="41" spans="1:24" ht="15" customHeight="1" x14ac:dyDescent="0.2">
      <c r="A41" s="96">
        <v>20</v>
      </c>
      <c r="B41" s="107"/>
      <c r="C41" s="108" t="s">
        <v>233</v>
      </c>
      <c r="D41" s="108"/>
      <c r="E41" s="108" t="s">
        <v>274</v>
      </c>
      <c r="F41" s="108" t="s">
        <v>220</v>
      </c>
      <c r="G41" s="109">
        <v>9.66</v>
      </c>
      <c r="H41" s="109"/>
      <c r="I41" s="109"/>
      <c r="J41" s="96" t="s">
        <v>259</v>
      </c>
      <c r="K41" s="96" t="s">
        <v>143</v>
      </c>
      <c r="L41" s="43">
        <f>VLOOKUP(K41,Reinigungstage!A10:E31,5,FALSE)</f>
        <v>1</v>
      </c>
      <c r="M41" s="43">
        <f t="shared" si="0"/>
        <v>9.66</v>
      </c>
      <c r="N41" s="110">
        <f t="shared" si="1"/>
        <v>0</v>
      </c>
      <c r="O41" s="43">
        <f ca="1">IF('SVS GrundRG'!H61="",0,'SVS GrundRG'!H61)</f>
        <v>0</v>
      </c>
      <c r="P41" s="43">
        <f t="shared" si="2"/>
        <v>0</v>
      </c>
      <c r="Q41" s="43">
        <f t="shared" si="3"/>
        <v>0</v>
      </c>
      <c r="R41" s="43">
        <f t="shared" si="4"/>
        <v>0</v>
      </c>
      <c r="S41" s="3" t="str">
        <f t="shared" si="5"/>
        <v>Leistungswert eintragen</v>
      </c>
      <c r="U41" s="3">
        <f t="shared" si="6"/>
        <v>7</v>
      </c>
      <c r="V41" s="3">
        <f t="shared" si="7"/>
        <v>2.1</v>
      </c>
      <c r="W41" s="3">
        <f t="shared" si="8"/>
        <v>9.1</v>
      </c>
      <c r="X41" s="3" t="str">
        <f t="shared" si="9"/>
        <v/>
      </c>
    </row>
    <row r="42" spans="1:24" ht="15" customHeight="1" x14ac:dyDescent="0.2">
      <c r="A42" s="96">
        <v>21</v>
      </c>
      <c r="B42" s="107"/>
      <c r="C42" s="108" t="s">
        <v>233</v>
      </c>
      <c r="D42" s="108"/>
      <c r="E42" s="108" t="s">
        <v>219</v>
      </c>
      <c r="F42" s="108" t="s">
        <v>220</v>
      </c>
      <c r="G42" s="109">
        <v>2.13</v>
      </c>
      <c r="H42" s="109"/>
      <c r="I42" s="109"/>
      <c r="J42" s="96" t="s">
        <v>259</v>
      </c>
      <c r="K42" s="96" t="s">
        <v>143</v>
      </c>
      <c r="L42" s="43">
        <f>VLOOKUP(K42,Reinigungstage!A10:E31,5,FALSE)</f>
        <v>1</v>
      </c>
      <c r="M42" s="43">
        <f t="shared" si="0"/>
        <v>2.13</v>
      </c>
      <c r="N42" s="110">
        <f t="shared" si="1"/>
        <v>0</v>
      </c>
      <c r="O42" s="43">
        <f ca="1">IF('SVS GrundRG'!H61="",0,'SVS GrundRG'!H61)</f>
        <v>0</v>
      </c>
      <c r="P42" s="43">
        <f t="shared" si="2"/>
        <v>0</v>
      </c>
      <c r="Q42" s="43">
        <f t="shared" si="3"/>
        <v>0</v>
      </c>
      <c r="R42" s="43">
        <f t="shared" si="4"/>
        <v>0</v>
      </c>
      <c r="S42" s="3" t="str">
        <f t="shared" si="5"/>
        <v>Leistungswert eintragen</v>
      </c>
      <c r="U42" s="3">
        <f t="shared" si="6"/>
        <v>7</v>
      </c>
      <c r="V42" s="3">
        <f t="shared" si="7"/>
        <v>2.1</v>
      </c>
      <c r="W42" s="3">
        <f t="shared" si="8"/>
        <v>9.1</v>
      </c>
      <c r="X42" s="3" t="str">
        <f t="shared" si="9"/>
        <v/>
      </c>
    </row>
    <row r="43" spans="1:24" ht="15" customHeight="1" x14ac:dyDescent="0.2">
      <c r="A43" s="96">
        <v>22</v>
      </c>
      <c r="B43" s="107"/>
      <c r="C43" s="108" t="s">
        <v>233</v>
      </c>
      <c r="D43" s="108"/>
      <c r="E43" s="108" t="s">
        <v>280</v>
      </c>
      <c r="F43" s="108" t="s">
        <v>281</v>
      </c>
      <c r="G43" s="109">
        <v>23.14</v>
      </c>
      <c r="H43" s="109"/>
      <c r="I43" s="109"/>
      <c r="J43" s="96" t="s">
        <v>260</v>
      </c>
      <c r="K43" s="96" t="s">
        <v>143</v>
      </c>
      <c r="L43" s="43">
        <f>VLOOKUP(K43,Reinigungstage!A10:E31,5,FALSE)</f>
        <v>1</v>
      </c>
      <c r="M43" s="43">
        <f t="shared" si="0"/>
        <v>23.14</v>
      </c>
      <c r="N43" s="110">
        <f t="shared" si="1"/>
        <v>0</v>
      </c>
      <c r="O43" s="43">
        <f ca="1">IF('SVS GrundRG'!H61="",0,'SVS GrundRG'!H61)</f>
        <v>0</v>
      </c>
      <c r="P43" s="43">
        <f t="shared" si="2"/>
        <v>0</v>
      </c>
      <c r="Q43" s="43">
        <f t="shared" si="3"/>
        <v>0</v>
      </c>
      <c r="R43" s="43">
        <f t="shared" si="4"/>
        <v>0</v>
      </c>
      <c r="S43" s="3" t="str">
        <f t="shared" si="5"/>
        <v>Leistungswert eintragen</v>
      </c>
      <c r="U43" s="3">
        <f t="shared" si="6"/>
        <v>24</v>
      </c>
      <c r="V43" s="3">
        <f t="shared" si="7"/>
        <v>7.1999999999999993</v>
      </c>
      <c r="W43" s="3">
        <f t="shared" si="8"/>
        <v>31.2</v>
      </c>
      <c r="X43" s="3" t="str">
        <f t="shared" si="9"/>
        <v/>
      </c>
    </row>
    <row r="44" spans="1:24" ht="15" customHeight="1" x14ac:dyDescent="0.2">
      <c r="A44" s="96">
        <v>23</v>
      </c>
      <c r="B44" s="107"/>
      <c r="C44" s="108" t="s">
        <v>233</v>
      </c>
      <c r="D44" s="108" t="s">
        <v>153</v>
      </c>
      <c r="E44" s="108" t="s">
        <v>280</v>
      </c>
      <c r="F44" s="108" t="s">
        <v>281</v>
      </c>
      <c r="G44" s="109">
        <v>15.62</v>
      </c>
      <c r="H44" s="109"/>
      <c r="I44" s="109">
        <v>1</v>
      </c>
      <c r="J44" s="96" t="s">
        <v>260</v>
      </c>
      <c r="K44" s="96" t="s">
        <v>143</v>
      </c>
      <c r="L44" s="43">
        <f>VLOOKUP(K44,Reinigungstage!A10:E31,5,FALSE)</f>
        <v>1</v>
      </c>
      <c r="M44" s="43">
        <f t="shared" si="0"/>
        <v>15.62</v>
      </c>
      <c r="N44" s="110">
        <f t="shared" si="1"/>
        <v>0</v>
      </c>
      <c r="O44" s="43">
        <f ca="1">IF('SVS GrundRG'!H61="",0,'SVS GrundRG'!H61)</f>
        <v>0</v>
      </c>
      <c r="P44" s="43">
        <f t="shared" si="2"/>
        <v>0</v>
      </c>
      <c r="Q44" s="43">
        <f t="shared" si="3"/>
        <v>0</v>
      </c>
      <c r="R44" s="43">
        <f t="shared" si="4"/>
        <v>0</v>
      </c>
      <c r="S44" s="3" t="str">
        <f t="shared" si="5"/>
        <v>Leistungswert eintragen</v>
      </c>
      <c r="U44" s="3">
        <f t="shared" si="6"/>
        <v>24</v>
      </c>
      <c r="V44" s="3">
        <f t="shared" si="7"/>
        <v>7.1999999999999993</v>
      </c>
      <c r="W44" s="3">
        <f t="shared" si="8"/>
        <v>31.2</v>
      </c>
      <c r="X44" s="3" t="str">
        <f t="shared" si="9"/>
        <v/>
      </c>
    </row>
  </sheetData>
  <sheetProtection algorithmName="SHA-512" hashValue="IIRqFSjcw725rDocesc39hEa7K1EZy+BcKLT0Gwn00YTH3DKIiQfq5kPJhMrongYythwM+HvAggrfB11OjN7Hg==" saltValue="FLQoMHHd6+ZHH15/LcN7gA=="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5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57" priority="5" operator="containsText" text="Bitte prüfen Sie diese.">
      <formula>NOT(ISERROR(SEARCH("Bitte prüfen Sie diese.",L9)))</formula>
    </cfRule>
  </conditionalFormatting>
  <conditionalFormatting sqref="L10">
    <cfRule type="containsText" dxfId="5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55" priority="3" operator="containsText" text="lediglich Fehleingaben vermeiden wollen.">
      <formula>NOT(ISERROR(SEARCH("lediglich Fehleingaben vermeiden wollen.",L11)))</formula>
    </cfRule>
  </conditionalFormatting>
  <conditionalFormatting sqref="M11">
    <cfRule type="containsText" dxfId="5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53" priority="7" operator="containsText" text="für die Objektart prüfen.">
      <formula>NOT(ISERROR(SEARCH("für die Objektart prüfen.",M12)))</formula>
    </cfRule>
  </conditionalFormatting>
  <conditionalFormatting sqref="N13">
    <cfRule type="expression" dxfId="52" priority="2" stopIfTrue="1">
      <formula>N13=0</formula>
    </cfRule>
  </conditionalFormatting>
  <conditionalFormatting sqref="N14">
    <cfRule type="expression" dxfId="51" priority="1">
      <formula>N14=0</formula>
    </cfRule>
  </conditionalFormatting>
  <conditionalFormatting sqref="N22:N44">
    <cfRule type="expression" dxfId="50" priority="11">
      <formula>X22=0</formula>
    </cfRule>
    <cfRule type="expression" dxfId="49" priority="12" stopIfTrue="1">
      <formula>X22=1</formula>
    </cfRule>
  </conditionalFormatting>
  <conditionalFormatting sqref="O13">
    <cfRule type="containsText" dxfId="4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7" priority="9" operator="containsText" text="Wert(e) prüfen.">
      <formula>NOT(ISERROR(SEARCH("Wert(e) prüfen.",O14)))</formula>
    </cfRule>
  </conditionalFormatting>
  <conditionalFormatting sqref="S22:S44">
    <cfRule type="containsText" dxfId="46" priority="13" stopIfTrue="1" operator="containsText" text="SVS prüfen">
      <formula>NOT(ISERROR(SEARCH("SVS prüfen",S22)))</formula>
    </cfRule>
    <cfRule type="containsText" dxfId="45" priority="14" stopIfTrue="1" operator="containsText" text="Leistungswert eintragen">
      <formula>NOT(ISERROR(SEARCH("Leistungswert eintragen",S22)))</formula>
    </cfRule>
  </conditionalFormatting>
  <hyperlinks>
    <hyperlink ref="M1" location="Inhaltsverzeichnis!A1" display="Zurück zum Inhaltsverzeichnis" xr:uid="{83FC257D-95BE-4A54-B7F3-1A773CF8F7DB}"/>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Grund SH Pannwitz</oddFooter>
  </headerFooter>
  <rowBreaks count="1" manualBreakCount="1">
    <brk id="44" max="16383"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A6F32-04A5-4543-800B-98F22D8269EF}">
  <sheetPr codeName="Tabelle36">
    <tabColor indexed="40"/>
  </sheetPr>
  <dimension ref="A1:V43"/>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7" t="s">
        <v>151</v>
      </c>
      <c r="B2" s="158"/>
      <c r="C2" s="158"/>
      <c r="D2" s="158" t="b">
        <v>0</v>
      </c>
      <c r="E2" s="159"/>
      <c r="G2" s="160" t="s">
        <v>164</v>
      </c>
      <c r="H2" s="160" t="s">
        <v>156</v>
      </c>
      <c r="I2" s="160" t="s">
        <v>157</v>
      </c>
      <c r="J2" s="160" t="s">
        <v>176</v>
      </c>
      <c r="M2" s="21"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1" customHeight="1" x14ac:dyDescent="0.2">
      <c r="A3" s="93" t="s">
        <v>209</v>
      </c>
      <c r="B3" s="94"/>
      <c r="C3" s="94"/>
      <c r="D3" s="94"/>
      <c r="E3" s="95"/>
      <c r="G3" s="161"/>
      <c r="H3" s="161" t="b">
        <v>0</v>
      </c>
      <c r="I3" s="161"/>
      <c r="J3" s="161"/>
      <c r="M3" s="21" t="b">
        <v>0</v>
      </c>
      <c r="N3" s="132"/>
      <c r="O3" s="132"/>
      <c r="P3" s="132"/>
      <c r="Q3" s="132"/>
    </row>
    <row r="4" spans="1:22" ht="15" customHeight="1" x14ac:dyDescent="0.2">
      <c r="A4" s="155" t="s">
        <v>91</v>
      </c>
      <c r="B4" s="165" t="str">
        <f>IF(Inhaltsverzeichnis!C3="","",Inhaltsverzeichnis!C3)</f>
        <v/>
      </c>
      <c r="C4" s="166"/>
      <c r="D4" s="166"/>
      <c r="E4" s="167"/>
      <c r="G4" s="96" t="s">
        <v>237</v>
      </c>
      <c r="H4" s="97"/>
      <c r="I4" s="98">
        <f ca="1">SUMIF('Kal Unter Bed SH Pannwitz'!J22:M43,$G$4,'Kal Unter Bed SH Pannwitz'!M22:M43)</f>
        <v>85.75</v>
      </c>
      <c r="J4" s="69">
        <f>COUNTIFS('Kal Unter Bed SH Pannwitz'!J22:M43,$G$4)</f>
        <v>1</v>
      </c>
      <c r="M4" s="21" t="b">
        <v>0</v>
      </c>
      <c r="N4" s="132"/>
      <c r="O4" s="132"/>
      <c r="P4" s="132"/>
      <c r="Q4" s="132"/>
      <c r="U4" s="96" t="s">
        <v>237</v>
      </c>
      <c r="V4" s="3">
        <v>195</v>
      </c>
    </row>
    <row r="5" spans="1:22" ht="15" customHeight="1" x14ac:dyDescent="0.2">
      <c r="A5" s="156"/>
      <c r="B5" s="168"/>
      <c r="C5" s="169"/>
      <c r="D5" s="169"/>
      <c r="E5" s="170"/>
      <c r="G5" s="96" t="s">
        <v>261</v>
      </c>
      <c r="H5" s="97"/>
      <c r="I5" s="98">
        <f ca="1">SUMIF('Kal Unter Bed SH Pannwitz'!J22:M43,$G$5,'Kal Unter Bed SH Pannwitz'!M22:M43)</f>
        <v>1560.5</v>
      </c>
      <c r="J5" s="69">
        <f>COUNTIFS('Kal Unter Bed SH Pannwitz'!J22:M43,$G$5)</f>
        <v>2</v>
      </c>
      <c r="M5" s="21" t="b">
        <v>0</v>
      </c>
      <c r="N5" s="132"/>
      <c r="O5" s="132"/>
      <c r="P5" s="132"/>
      <c r="Q5" s="132"/>
      <c r="U5" s="96" t="s">
        <v>261</v>
      </c>
      <c r="V5" s="3">
        <v>215</v>
      </c>
    </row>
    <row r="6" spans="1:22" ht="15" customHeight="1" x14ac:dyDescent="0.2">
      <c r="A6" s="99" t="s">
        <v>174</v>
      </c>
      <c r="B6" s="171" t="s">
        <v>201</v>
      </c>
      <c r="C6" s="172"/>
      <c r="D6" s="172"/>
      <c r="E6" s="173"/>
      <c r="G6" s="96" t="s">
        <v>259</v>
      </c>
      <c r="H6" s="97"/>
      <c r="I6" s="98">
        <f ca="1">SUMIF('Kal Unter Bed SH Pannwitz'!J22:M43,$G$6,'Kal Unter Bed SH Pannwitz'!M22:M43)</f>
        <v>1538</v>
      </c>
      <c r="J6" s="69">
        <f>COUNTIFS('Kal Unter Bed SH Pannwitz'!J22:M43,$G$6)</f>
        <v>12</v>
      </c>
      <c r="U6" s="96" t="s">
        <v>259</v>
      </c>
      <c r="V6" s="3">
        <v>75</v>
      </c>
    </row>
    <row r="7" spans="1:22" ht="15" customHeight="1" x14ac:dyDescent="0.2">
      <c r="A7" s="100" t="s">
        <v>172</v>
      </c>
      <c r="B7" s="174" t="s">
        <v>202</v>
      </c>
      <c r="C7" s="172"/>
      <c r="D7" s="172"/>
      <c r="E7" s="173"/>
      <c r="G7" s="96" t="s">
        <v>283</v>
      </c>
      <c r="H7" s="97"/>
      <c r="I7" s="98">
        <f ca="1">SUMIF('Kal Unter Bed SH Pannwitz'!J22:M43,$G$7,'Kal Unter Bed SH Pannwitz'!M22:M43)</f>
        <v>26270</v>
      </c>
      <c r="J7" s="69">
        <f>COUNTIFS('Kal Unter Bed SH Pannwitz'!J22:M43,$G$7)</f>
        <v>1</v>
      </c>
      <c r="U7" s="96" t="s">
        <v>283</v>
      </c>
      <c r="V7" s="3">
        <v>450</v>
      </c>
    </row>
    <row r="8" spans="1:22" ht="15" customHeight="1" x14ac:dyDescent="0.2">
      <c r="A8" s="100" t="s">
        <v>173</v>
      </c>
      <c r="B8" s="171" t="s">
        <v>208</v>
      </c>
      <c r="C8" s="172"/>
      <c r="D8" s="172"/>
      <c r="E8" s="173"/>
      <c r="G8" s="96" t="s">
        <v>273</v>
      </c>
      <c r="H8" s="97"/>
      <c r="I8" s="98">
        <f ca="1">SUMIF('Kal Unter Bed SH Pannwitz'!J22:M43,$G$8,'Kal Unter Bed SH Pannwitz'!M22:M43)</f>
        <v>1830.75</v>
      </c>
      <c r="J8" s="69">
        <f>COUNTIFS('Kal Unter Bed SH Pannwitz'!J22:M43,$G$8)</f>
        <v>4</v>
      </c>
      <c r="U8" s="96" t="s">
        <v>262</v>
      </c>
      <c r="V8" s="3">
        <v>300</v>
      </c>
    </row>
    <row r="9" spans="1:22" ht="15" customHeight="1" x14ac:dyDescent="0.2">
      <c r="A9" s="99" t="s">
        <v>171</v>
      </c>
      <c r="B9" s="175" t="s">
        <v>207</v>
      </c>
      <c r="C9" s="172"/>
      <c r="D9" s="172"/>
      <c r="E9" s="173"/>
      <c r="G9" s="96" t="s">
        <v>260</v>
      </c>
      <c r="H9" s="97"/>
      <c r="I9" s="98">
        <f ca="1">SUMIF('Kal Unter Bed SH Pannwitz'!J22:M43,$G$9,'Kal Unter Bed SH Pannwitz'!M22:M43)</f>
        <v>969</v>
      </c>
      <c r="J9" s="69">
        <f>COUNTIFS('Kal Unter Bed SH Pannwitz'!J22:M43,$G$9)</f>
        <v>2</v>
      </c>
      <c r="U9" s="96" t="s">
        <v>273</v>
      </c>
      <c r="V9" s="3">
        <v>220</v>
      </c>
    </row>
    <row r="10" spans="1:22" ht="15" customHeight="1" x14ac:dyDescent="0.2">
      <c r="A10" s="100" t="s">
        <v>153</v>
      </c>
      <c r="B10" s="171" t="s">
        <v>204</v>
      </c>
      <c r="C10" s="172"/>
      <c r="D10" s="172"/>
      <c r="E10" s="173"/>
      <c r="U10" s="96" t="s">
        <v>260</v>
      </c>
      <c r="V10" s="3">
        <v>450</v>
      </c>
    </row>
    <row r="11" spans="1:22" ht="15" customHeight="1" x14ac:dyDescent="0.2">
      <c r="A11" s="100" t="s">
        <v>154</v>
      </c>
      <c r="B11" s="176" t="s">
        <v>205</v>
      </c>
      <c r="C11" s="172"/>
      <c r="D11" s="172"/>
      <c r="E11" s="173"/>
      <c r="M11" s="3" t="str">
        <f>IF(N13&gt;0,"Bitte die Leistungswerte im Leistungsverzeichnis/ Tabellenblatt Leistungsrichtwerte","")</f>
        <v/>
      </c>
    </row>
    <row r="12" spans="1:22" ht="15" customHeight="1" x14ac:dyDescent="0.2">
      <c r="A12" s="100" t="s">
        <v>155</v>
      </c>
      <c r="B12" s="171" t="s">
        <v>206</v>
      </c>
      <c r="C12" s="172"/>
      <c r="D12" s="172"/>
      <c r="E12" s="173"/>
      <c r="M12" s="3" t="str">
        <f>IF(N13&gt;0,"für die Objektart prüfen.","")</f>
        <v/>
      </c>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c r="N13" s="101">
        <f>COUNTIF(V22:V$43,1)</f>
        <v>0</v>
      </c>
      <c r="O13" s="3" t="str">
        <f>IF(N13&gt;0,"Wert(e) überschritten, bitte mit dem Angebot plausibel darlegen.","")</f>
        <v/>
      </c>
    </row>
    <row r="14" spans="1:22" ht="15" customHeight="1" x14ac:dyDescent="0.2">
      <c r="N14" s="102">
        <f>COUNTIF(V22:V$43,0)</f>
        <v>22</v>
      </c>
      <c r="O14" s="3" t="str">
        <f>IF(N14&gt;0,"Wert(e) korrekt","")</f>
        <v>Wert(e) korrekt</v>
      </c>
      <c r="T14" s="103">
        <f>IF(COUNTA($T$22:$T$43)-COUNTBLANK($T$22:$T$43)=0,"",COUNTA($T$22:$T$43)-COUNTBLANK($T$22:$T$43))</f>
        <v>22</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135</v>
      </c>
      <c r="M20" s="1" t="s">
        <v>109</v>
      </c>
      <c r="N20" s="1" t="s">
        <v>105</v>
      </c>
      <c r="O20" s="1" t="s">
        <v>110</v>
      </c>
      <c r="P20" s="1" t="s">
        <v>111</v>
      </c>
      <c r="Q20" s="1" t="s">
        <v>112</v>
      </c>
      <c r="R20" s="1" t="s">
        <v>175</v>
      </c>
      <c r="S20" s="1" t="s">
        <v>134</v>
      </c>
    </row>
    <row r="21" spans="1:22" ht="29.1" customHeight="1" x14ac:dyDescent="0.2">
      <c r="A21" s="104" t="s">
        <v>119</v>
      </c>
      <c r="B21" s="12"/>
      <c r="C21" s="12"/>
      <c r="D21" s="12"/>
      <c r="E21" s="12"/>
      <c r="F21" s="12"/>
      <c r="G21" s="105">
        <f>SUM($G$22:$G$43)</f>
        <v>1290.1600000000003</v>
      </c>
      <c r="H21" s="105">
        <f>SUM($H$22:$H$43)</f>
        <v>0</v>
      </c>
      <c r="I21" s="105">
        <f>SUM($I$22:$I$43)</f>
        <v>3</v>
      </c>
      <c r="J21" s="43"/>
      <c r="K21" s="43"/>
      <c r="L21" s="106">
        <f>MAX(L22:L43)</f>
        <v>25</v>
      </c>
      <c r="M21" s="105">
        <f>SUM($M$22:$M$43)</f>
        <v>32254</v>
      </c>
      <c r="N21" s="43"/>
      <c r="O21" s="43"/>
      <c r="P21" s="105">
        <f>SUM($P$22:$P$43)</f>
        <v>0</v>
      </c>
      <c r="Q21" s="105">
        <f ca="1">SUM($Q$22:$Q$43)</f>
        <v>0</v>
      </c>
      <c r="R21" s="105">
        <f>ROUND(IF(L21=0,0,P21/L21),2)</f>
        <v>0</v>
      </c>
      <c r="S21" s="105">
        <f ca="1">ROUND(IF(L21=0,0,Q21/L21),2)</f>
        <v>0</v>
      </c>
    </row>
    <row r="22" spans="1:22" ht="15" customHeight="1" x14ac:dyDescent="0.2">
      <c r="A22" s="96">
        <v>1</v>
      </c>
      <c r="B22" s="107"/>
      <c r="C22" s="108" t="s">
        <v>233</v>
      </c>
      <c r="D22" s="108"/>
      <c r="E22" s="108" t="s">
        <v>264</v>
      </c>
      <c r="F22" s="108" t="s">
        <v>265</v>
      </c>
      <c r="G22" s="109">
        <v>1050.8</v>
      </c>
      <c r="H22" s="109"/>
      <c r="I22" s="109"/>
      <c r="J22" s="96" t="s">
        <v>283</v>
      </c>
      <c r="K22" s="96" t="s">
        <v>146</v>
      </c>
      <c r="L22" s="43">
        <f>VLOOKUP(K22,Reinigungstage!A10:G31,7,FALSE)</f>
        <v>25</v>
      </c>
      <c r="M22" s="43">
        <f t="shared" ref="M22:M43" si="0">ROUND(IF(L22=0,0,L22*G22),2)</f>
        <v>26270</v>
      </c>
      <c r="N22" s="110">
        <f t="shared" ref="N22:N43" si="1">VLOOKUP(J22,$G$4:$H$9,2,FALSE)</f>
        <v>0</v>
      </c>
      <c r="O22" s="43">
        <f ca="1">IF('SVS UnterhaltsRG'!H61="",0,'SVS UnterhaltsRG'!H61)</f>
        <v>0</v>
      </c>
      <c r="P22" s="43">
        <f t="shared" ref="P22:P43" si="2">ROUND(IF(N22=0,0,M22/N22),2)</f>
        <v>0</v>
      </c>
      <c r="Q22" s="43">
        <f t="shared" ref="Q22:Q43" ca="1" si="3">IF(M22=0,0,IF(O22="",0,ROUND(P22*O22,2)))</f>
        <v>0</v>
      </c>
      <c r="R22" s="43">
        <f t="shared" ref="R22:R43" si="4">ROUND(IF(P22=0,0,P22/L22),2)</f>
        <v>0</v>
      </c>
      <c r="S22" s="43">
        <f t="shared" ref="S22:S43" ca="1" si="5">ROUND(IF(Q22=0,0,Q22/L22),2)</f>
        <v>0</v>
      </c>
      <c r="T22" s="3" t="str">
        <f t="shared" ref="T22:T43" si="6">IF(M22=0,"",IF(N22=0,"Leistungswert eintragen",IF(O22=0,"SVS prüfen","")))</f>
        <v>Leistungswert eintragen</v>
      </c>
      <c r="U22" s="3">
        <f t="shared" ref="U22:U43" si="7">VLOOKUP(J22,$U$4:$V$10,2,FALSE)</f>
        <v>450</v>
      </c>
      <c r="V22" s="3">
        <f t="shared" ref="V22:V43" si="8">IF(M22=0,0,IF(U22&lt;N22,1,IF(U22&gt;=N22,0,"")))</f>
        <v>0</v>
      </c>
    </row>
    <row r="23" spans="1:22" ht="15" customHeight="1" x14ac:dyDescent="0.2">
      <c r="A23" s="96">
        <v>2</v>
      </c>
      <c r="B23" s="107"/>
      <c r="C23" s="108" t="s">
        <v>233</v>
      </c>
      <c r="D23" s="108"/>
      <c r="E23" s="108" t="s">
        <v>268</v>
      </c>
      <c r="F23" s="108" t="s">
        <v>218</v>
      </c>
      <c r="G23" s="109">
        <v>21.16</v>
      </c>
      <c r="H23" s="109"/>
      <c r="I23" s="109"/>
      <c r="J23" s="96" t="s">
        <v>261</v>
      </c>
      <c r="K23" s="96" t="s">
        <v>146</v>
      </c>
      <c r="L23" s="43">
        <f>VLOOKUP(K23,Reinigungstage!A10:G31,7,FALSE)</f>
        <v>25</v>
      </c>
      <c r="M23" s="43">
        <f t="shared" si="0"/>
        <v>529</v>
      </c>
      <c r="N23" s="110">
        <f t="shared" si="1"/>
        <v>0</v>
      </c>
      <c r="O23" s="43">
        <f ca="1">IF('SVS UnterhaltsRG'!H61="",0,'SVS UnterhaltsRG'!H61)</f>
        <v>0</v>
      </c>
      <c r="P23" s="43">
        <f t="shared" si="2"/>
        <v>0</v>
      </c>
      <c r="Q23" s="43">
        <f t="shared" ca="1" si="3"/>
        <v>0</v>
      </c>
      <c r="R23" s="43">
        <f t="shared" si="4"/>
        <v>0</v>
      </c>
      <c r="S23" s="43">
        <f t="shared" ca="1" si="5"/>
        <v>0</v>
      </c>
      <c r="T23" s="3" t="str">
        <f t="shared" si="6"/>
        <v>Leistungswert eintragen</v>
      </c>
      <c r="U23" s="3">
        <f t="shared" si="7"/>
        <v>215</v>
      </c>
      <c r="V23" s="3">
        <f t="shared" si="8"/>
        <v>0</v>
      </c>
    </row>
    <row r="24" spans="1:22" ht="15" customHeight="1" x14ac:dyDescent="0.2">
      <c r="A24" s="96">
        <v>3</v>
      </c>
      <c r="B24" s="107"/>
      <c r="C24" s="108" t="s">
        <v>233</v>
      </c>
      <c r="D24" s="108"/>
      <c r="E24" s="108" t="s">
        <v>269</v>
      </c>
      <c r="F24" s="108" t="s">
        <v>218</v>
      </c>
      <c r="G24" s="109">
        <v>41.26</v>
      </c>
      <c r="H24" s="109"/>
      <c r="I24" s="109">
        <v>2</v>
      </c>
      <c r="J24" s="96" t="s">
        <v>261</v>
      </c>
      <c r="K24" s="96" t="s">
        <v>146</v>
      </c>
      <c r="L24" s="43">
        <f>VLOOKUP(K24,Reinigungstage!A10:G31,7,FALSE)</f>
        <v>25</v>
      </c>
      <c r="M24" s="43">
        <f t="shared" si="0"/>
        <v>1031.5</v>
      </c>
      <c r="N24" s="110">
        <f t="shared" si="1"/>
        <v>0</v>
      </c>
      <c r="O24" s="43">
        <f ca="1">IF('SVS UnterhaltsRG'!H61="",0,'SVS UnterhaltsRG'!H61)</f>
        <v>0</v>
      </c>
      <c r="P24" s="43">
        <f t="shared" si="2"/>
        <v>0</v>
      </c>
      <c r="Q24" s="43">
        <f t="shared" ca="1" si="3"/>
        <v>0</v>
      </c>
      <c r="R24" s="43">
        <f t="shared" si="4"/>
        <v>0</v>
      </c>
      <c r="S24" s="43">
        <f t="shared" ca="1" si="5"/>
        <v>0</v>
      </c>
      <c r="T24" s="3" t="str">
        <f t="shared" si="6"/>
        <v>Leistungswert eintragen</v>
      </c>
      <c r="U24" s="3">
        <f t="shared" si="7"/>
        <v>215</v>
      </c>
      <c r="V24" s="3">
        <f t="shared" si="8"/>
        <v>0</v>
      </c>
    </row>
    <row r="25" spans="1:22" ht="15" customHeight="1" x14ac:dyDescent="0.2">
      <c r="A25" s="96">
        <v>4</v>
      </c>
      <c r="B25" s="107"/>
      <c r="C25" s="108" t="s">
        <v>233</v>
      </c>
      <c r="D25" s="108"/>
      <c r="E25" s="108" t="s">
        <v>270</v>
      </c>
      <c r="F25" s="108" t="s">
        <v>218</v>
      </c>
      <c r="G25" s="109">
        <v>2.86</v>
      </c>
      <c r="H25" s="109"/>
      <c r="I25" s="109"/>
      <c r="J25" s="96" t="s">
        <v>259</v>
      </c>
      <c r="K25" s="96" t="s">
        <v>146</v>
      </c>
      <c r="L25" s="43">
        <f>VLOOKUP(K25,Reinigungstage!A10:G31,7,FALSE)</f>
        <v>25</v>
      </c>
      <c r="M25" s="43">
        <f t="shared" si="0"/>
        <v>71.5</v>
      </c>
      <c r="N25" s="110">
        <f t="shared" si="1"/>
        <v>0</v>
      </c>
      <c r="O25" s="43">
        <f ca="1">IF('SVS UnterhaltsRG'!H61="",0,'SVS UnterhaltsRG'!H61)</f>
        <v>0</v>
      </c>
      <c r="P25" s="43">
        <f t="shared" si="2"/>
        <v>0</v>
      </c>
      <c r="Q25" s="43">
        <f t="shared" ca="1" si="3"/>
        <v>0</v>
      </c>
      <c r="R25" s="43">
        <f t="shared" si="4"/>
        <v>0</v>
      </c>
      <c r="S25" s="43">
        <f t="shared" ca="1" si="5"/>
        <v>0</v>
      </c>
      <c r="T25" s="3" t="str">
        <f t="shared" si="6"/>
        <v>Leistungswert eintragen</v>
      </c>
      <c r="U25" s="3">
        <f t="shared" si="7"/>
        <v>75</v>
      </c>
      <c r="V25" s="3">
        <f t="shared" si="8"/>
        <v>0</v>
      </c>
    </row>
    <row r="26" spans="1:22" ht="15" customHeight="1" x14ac:dyDescent="0.2">
      <c r="A26" s="96">
        <v>5</v>
      </c>
      <c r="B26" s="107"/>
      <c r="C26" s="108" t="s">
        <v>233</v>
      </c>
      <c r="D26" s="108"/>
      <c r="E26" s="108" t="s">
        <v>271</v>
      </c>
      <c r="F26" s="108" t="s">
        <v>218</v>
      </c>
      <c r="G26" s="109">
        <v>2.78</v>
      </c>
      <c r="H26" s="109"/>
      <c r="I26" s="109"/>
      <c r="J26" s="96" t="s">
        <v>259</v>
      </c>
      <c r="K26" s="96" t="s">
        <v>146</v>
      </c>
      <c r="L26" s="43">
        <f>VLOOKUP(K26,Reinigungstage!A10:G31,7,FALSE)</f>
        <v>25</v>
      </c>
      <c r="M26" s="43">
        <f t="shared" si="0"/>
        <v>69.5</v>
      </c>
      <c r="N26" s="110">
        <f t="shared" si="1"/>
        <v>0</v>
      </c>
      <c r="O26" s="43">
        <f ca="1">IF('SVS UnterhaltsRG'!H61="",0,'SVS UnterhaltsRG'!H61)</f>
        <v>0</v>
      </c>
      <c r="P26" s="43">
        <f t="shared" si="2"/>
        <v>0</v>
      </c>
      <c r="Q26" s="43">
        <f t="shared" ca="1" si="3"/>
        <v>0</v>
      </c>
      <c r="R26" s="43">
        <f t="shared" si="4"/>
        <v>0</v>
      </c>
      <c r="S26" s="43">
        <f t="shared" ca="1" si="5"/>
        <v>0</v>
      </c>
      <c r="T26" s="3" t="str">
        <f t="shared" si="6"/>
        <v>Leistungswert eintragen</v>
      </c>
      <c r="U26" s="3">
        <f t="shared" si="7"/>
        <v>75</v>
      </c>
      <c r="V26" s="3">
        <f t="shared" si="8"/>
        <v>0</v>
      </c>
    </row>
    <row r="27" spans="1:22" ht="15" customHeight="1" x14ac:dyDescent="0.2">
      <c r="A27" s="96">
        <v>6</v>
      </c>
      <c r="B27" s="107" t="s">
        <v>272</v>
      </c>
      <c r="C27" s="108" t="s">
        <v>233</v>
      </c>
      <c r="D27" s="108"/>
      <c r="E27" s="108" t="s">
        <v>273</v>
      </c>
      <c r="F27" s="108" t="s">
        <v>218</v>
      </c>
      <c r="G27" s="109">
        <v>18.36</v>
      </c>
      <c r="H27" s="109"/>
      <c r="I27" s="109"/>
      <c r="J27" s="96" t="s">
        <v>273</v>
      </c>
      <c r="K27" s="96" t="s">
        <v>146</v>
      </c>
      <c r="L27" s="43">
        <f>VLOOKUP(K27,Reinigungstage!A10:G31,7,FALSE)</f>
        <v>25</v>
      </c>
      <c r="M27" s="43">
        <f t="shared" si="0"/>
        <v>459</v>
      </c>
      <c r="N27" s="110">
        <f t="shared" si="1"/>
        <v>0</v>
      </c>
      <c r="O27" s="43">
        <f ca="1">IF('SVS UnterhaltsRG'!H61="",0,'SVS UnterhaltsRG'!H61)</f>
        <v>0</v>
      </c>
      <c r="P27" s="43">
        <f t="shared" si="2"/>
        <v>0</v>
      </c>
      <c r="Q27" s="43">
        <f t="shared" ca="1" si="3"/>
        <v>0</v>
      </c>
      <c r="R27" s="43">
        <f t="shared" si="4"/>
        <v>0</v>
      </c>
      <c r="S27" s="43">
        <f t="shared" ca="1" si="5"/>
        <v>0</v>
      </c>
      <c r="T27" s="3" t="str">
        <f t="shared" si="6"/>
        <v>Leistungswert eintragen</v>
      </c>
      <c r="U27" s="3">
        <f t="shared" si="7"/>
        <v>220</v>
      </c>
      <c r="V27" s="3">
        <f t="shared" si="8"/>
        <v>0</v>
      </c>
    </row>
    <row r="28" spans="1:22" ht="15" customHeight="1" x14ac:dyDescent="0.2">
      <c r="A28" s="96">
        <v>7</v>
      </c>
      <c r="B28" s="107"/>
      <c r="C28" s="108" t="s">
        <v>233</v>
      </c>
      <c r="D28" s="108"/>
      <c r="E28" s="108" t="s">
        <v>274</v>
      </c>
      <c r="F28" s="108" t="s">
        <v>220</v>
      </c>
      <c r="G28" s="109">
        <v>9.66</v>
      </c>
      <c r="H28" s="109"/>
      <c r="I28" s="109"/>
      <c r="J28" s="96" t="s">
        <v>259</v>
      </c>
      <c r="K28" s="96" t="s">
        <v>146</v>
      </c>
      <c r="L28" s="43">
        <f>VLOOKUP(K28,Reinigungstage!A10:G31,7,FALSE)</f>
        <v>25</v>
      </c>
      <c r="M28" s="43">
        <f t="shared" si="0"/>
        <v>241.5</v>
      </c>
      <c r="N28" s="110">
        <f t="shared" si="1"/>
        <v>0</v>
      </c>
      <c r="O28" s="43">
        <f ca="1">IF('SVS UnterhaltsRG'!H61="",0,'SVS UnterhaltsRG'!H61)</f>
        <v>0</v>
      </c>
      <c r="P28" s="43">
        <f t="shared" si="2"/>
        <v>0</v>
      </c>
      <c r="Q28" s="43">
        <f t="shared" ca="1" si="3"/>
        <v>0</v>
      </c>
      <c r="R28" s="43">
        <f t="shared" si="4"/>
        <v>0</v>
      </c>
      <c r="S28" s="43">
        <f t="shared" ca="1" si="5"/>
        <v>0</v>
      </c>
      <c r="T28" s="3" t="str">
        <f t="shared" si="6"/>
        <v>Leistungswert eintragen</v>
      </c>
      <c r="U28" s="3">
        <f t="shared" si="7"/>
        <v>75</v>
      </c>
      <c r="V28" s="3">
        <f t="shared" si="8"/>
        <v>0</v>
      </c>
    </row>
    <row r="29" spans="1:22" ht="15" customHeight="1" x14ac:dyDescent="0.2">
      <c r="A29" s="96">
        <v>8</v>
      </c>
      <c r="B29" s="107"/>
      <c r="C29" s="108" t="s">
        <v>233</v>
      </c>
      <c r="D29" s="108"/>
      <c r="E29" s="108" t="s">
        <v>219</v>
      </c>
      <c r="F29" s="108" t="s">
        <v>220</v>
      </c>
      <c r="G29" s="109">
        <v>2.17</v>
      </c>
      <c r="H29" s="109"/>
      <c r="I29" s="109"/>
      <c r="J29" s="96" t="s">
        <v>259</v>
      </c>
      <c r="K29" s="96" t="s">
        <v>146</v>
      </c>
      <c r="L29" s="43">
        <f>VLOOKUP(K29,Reinigungstage!A10:G31,7,FALSE)</f>
        <v>25</v>
      </c>
      <c r="M29" s="43">
        <f t="shared" si="0"/>
        <v>54.25</v>
      </c>
      <c r="N29" s="110">
        <f t="shared" si="1"/>
        <v>0</v>
      </c>
      <c r="O29" s="43">
        <f ca="1">IF('SVS UnterhaltsRG'!H61="",0,'SVS UnterhaltsRG'!H61)</f>
        <v>0</v>
      </c>
      <c r="P29" s="43">
        <f t="shared" si="2"/>
        <v>0</v>
      </c>
      <c r="Q29" s="43">
        <f t="shared" ca="1" si="3"/>
        <v>0</v>
      </c>
      <c r="R29" s="43">
        <f t="shared" si="4"/>
        <v>0</v>
      </c>
      <c r="S29" s="43">
        <f t="shared" ca="1" si="5"/>
        <v>0</v>
      </c>
      <c r="T29" s="3" t="str">
        <f t="shared" si="6"/>
        <v>Leistungswert eintragen</v>
      </c>
      <c r="U29" s="3">
        <f t="shared" si="7"/>
        <v>75</v>
      </c>
      <c r="V29" s="3">
        <f t="shared" si="8"/>
        <v>0</v>
      </c>
    </row>
    <row r="30" spans="1:22" ht="15" customHeight="1" x14ac:dyDescent="0.2">
      <c r="A30" s="96">
        <v>9</v>
      </c>
      <c r="B30" s="107" t="s">
        <v>275</v>
      </c>
      <c r="C30" s="108" t="s">
        <v>233</v>
      </c>
      <c r="D30" s="108"/>
      <c r="E30" s="108" t="s">
        <v>274</v>
      </c>
      <c r="F30" s="108" t="s">
        <v>220</v>
      </c>
      <c r="G30" s="109">
        <v>4.28</v>
      </c>
      <c r="H30" s="109"/>
      <c r="I30" s="109"/>
      <c r="J30" s="96" t="s">
        <v>259</v>
      </c>
      <c r="K30" s="96" t="s">
        <v>146</v>
      </c>
      <c r="L30" s="43">
        <f>VLOOKUP(K30,Reinigungstage!A10:G31,7,FALSE)</f>
        <v>25</v>
      </c>
      <c r="M30" s="43">
        <f t="shared" si="0"/>
        <v>107</v>
      </c>
      <c r="N30" s="110">
        <f t="shared" si="1"/>
        <v>0</v>
      </c>
      <c r="O30" s="43">
        <f ca="1">IF('SVS UnterhaltsRG'!H61="",0,'SVS UnterhaltsRG'!H61)</f>
        <v>0</v>
      </c>
      <c r="P30" s="43">
        <f t="shared" si="2"/>
        <v>0</v>
      </c>
      <c r="Q30" s="43">
        <f t="shared" ca="1" si="3"/>
        <v>0</v>
      </c>
      <c r="R30" s="43">
        <f t="shared" si="4"/>
        <v>0</v>
      </c>
      <c r="S30" s="43">
        <f t="shared" ca="1" si="5"/>
        <v>0</v>
      </c>
      <c r="T30" s="3" t="str">
        <f t="shared" si="6"/>
        <v>Leistungswert eintragen</v>
      </c>
      <c r="U30" s="3">
        <f t="shared" si="7"/>
        <v>75</v>
      </c>
      <c r="V30" s="3">
        <f t="shared" si="8"/>
        <v>0</v>
      </c>
    </row>
    <row r="31" spans="1:22" ht="15" customHeight="1" x14ac:dyDescent="0.2">
      <c r="A31" s="96">
        <v>10</v>
      </c>
      <c r="B31" s="107" t="s">
        <v>276</v>
      </c>
      <c r="C31" s="108" t="s">
        <v>233</v>
      </c>
      <c r="D31" s="108"/>
      <c r="E31" s="108" t="s">
        <v>273</v>
      </c>
      <c r="F31" s="108" t="s">
        <v>218</v>
      </c>
      <c r="G31" s="109">
        <v>18.18</v>
      </c>
      <c r="H31" s="109"/>
      <c r="I31" s="109"/>
      <c r="J31" s="96" t="s">
        <v>273</v>
      </c>
      <c r="K31" s="96" t="s">
        <v>146</v>
      </c>
      <c r="L31" s="43">
        <f>VLOOKUP(K31,Reinigungstage!A10:G31,7,FALSE)</f>
        <v>25</v>
      </c>
      <c r="M31" s="43">
        <f t="shared" si="0"/>
        <v>454.5</v>
      </c>
      <c r="N31" s="110">
        <f t="shared" si="1"/>
        <v>0</v>
      </c>
      <c r="O31" s="43">
        <f ca="1">IF('SVS UnterhaltsRG'!H61="",0,'SVS UnterhaltsRG'!H61)</f>
        <v>0</v>
      </c>
      <c r="P31" s="43">
        <f t="shared" si="2"/>
        <v>0</v>
      </c>
      <c r="Q31" s="43">
        <f t="shared" ca="1" si="3"/>
        <v>0</v>
      </c>
      <c r="R31" s="43">
        <f t="shared" si="4"/>
        <v>0</v>
      </c>
      <c r="S31" s="43">
        <f t="shared" ca="1" si="5"/>
        <v>0</v>
      </c>
      <c r="T31" s="3" t="str">
        <f t="shared" si="6"/>
        <v>Leistungswert eintragen</v>
      </c>
      <c r="U31" s="3">
        <f t="shared" si="7"/>
        <v>220</v>
      </c>
      <c r="V31" s="3">
        <f t="shared" si="8"/>
        <v>0</v>
      </c>
    </row>
    <row r="32" spans="1:22" ht="15" customHeight="1" x14ac:dyDescent="0.2">
      <c r="A32" s="96">
        <v>11</v>
      </c>
      <c r="B32" s="107" t="s">
        <v>276</v>
      </c>
      <c r="C32" s="108" t="s">
        <v>233</v>
      </c>
      <c r="D32" s="108"/>
      <c r="E32" s="108" t="s">
        <v>274</v>
      </c>
      <c r="F32" s="108" t="s">
        <v>220</v>
      </c>
      <c r="G32" s="109">
        <v>9.66</v>
      </c>
      <c r="H32" s="109"/>
      <c r="I32" s="109"/>
      <c r="J32" s="96" t="s">
        <v>259</v>
      </c>
      <c r="K32" s="96" t="s">
        <v>146</v>
      </c>
      <c r="L32" s="43">
        <f>VLOOKUP(K32,Reinigungstage!A10:G31,7,FALSE)</f>
        <v>25</v>
      </c>
      <c r="M32" s="43">
        <f t="shared" si="0"/>
        <v>241.5</v>
      </c>
      <c r="N32" s="110">
        <f t="shared" si="1"/>
        <v>0</v>
      </c>
      <c r="O32" s="43">
        <f ca="1">IF('SVS UnterhaltsRG'!H61="",0,'SVS UnterhaltsRG'!H61)</f>
        <v>0</v>
      </c>
      <c r="P32" s="43">
        <f t="shared" si="2"/>
        <v>0</v>
      </c>
      <c r="Q32" s="43">
        <f t="shared" ca="1" si="3"/>
        <v>0</v>
      </c>
      <c r="R32" s="43">
        <f t="shared" si="4"/>
        <v>0</v>
      </c>
      <c r="S32" s="43">
        <f t="shared" ca="1" si="5"/>
        <v>0</v>
      </c>
      <c r="T32" s="3" t="str">
        <f t="shared" si="6"/>
        <v>Leistungswert eintragen</v>
      </c>
      <c r="U32" s="3">
        <f t="shared" si="7"/>
        <v>75</v>
      </c>
      <c r="V32" s="3">
        <f t="shared" si="8"/>
        <v>0</v>
      </c>
    </row>
    <row r="33" spans="1:22" ht="15" customHeight="1" x14ac:dyDescent="0.2">
      <c r="A33" s="96">
        <v>12</v>
      </c>
      <c r="B33" s="107" t="s">
        <v>276</v>
      </c>
      <c r="C33" s="108" t="s">
        <v>233</v>
      </c>
      <c r="D33" s="108"/>
      <c r="E33" s="108" t="s">
        <v>219</v>
      </c>
      <c r="F33" s="108" t="s">
        <v>220</v>
      </c>
      <c r="G33" s="109">
        <v>2.17</v>
      </c>
      <c r="H33" s="109"/>
      <c r="I33" s="109"/>
      <c r="J33" s="96" t="s">
        <v>259</v>
      </c>
      <c r="K33" s="96" t="s">
        <v>146</v>
      </c>
      <c r="L33" s="43">
        <f>VLOOKUP(K33,Reinigungstage!A10:G31,7,FALSE)</f>
        <v>25</v>
      </c>
      <c r="M33" s="43">
        <f t="shared" si="0"/>
        <v>54.25</v>
      </c>
      <c r="N33" s="110">
        <f t="shared" si="1"/>
        <v>0</v>
      </c>
      <c r="O33" s="43">
        <f ca="1">IF('SVS UnterhaltsRG'!H61="",0,'SVS UnterhaltsRG'!H61)</f>
        <v>0</v>
      </c>
      <c r="P33" s="43">
        <f t="shared" si="2"/>
        <v>0</v>
      </c>
      <c r="Q33" s="43">
        <f t="shared" ca="1" si="3"/>
        <v>0</v>
      </c>
      <c r="R33" s="43">
        <f t="shared" si="4"/>
        <v>0</v>
      </c>
      <c r="S33" s="43">
        <f t="shared" ca="1" si="5"/>
        <v>0</v>
      </c>
      <c r="T33" s="3" t="str">
        <f t="shared" si="6"/>
        <v>Leistungswert eintragen</v>
      </c>
      <c r="U33" s="3">
        <f t="shared" si="7"/>
        <v>75</v>
      </c>
      <c r="V33" s="3">
        <f t="shared" si="8"/>
        <v>0</v>
      </c>
    </row>
    <row r="34" spans="1:22" ht="15" customHeight="1" x14ac:dyDescent="0.2">
      <c r="A34" s="96">
        <v>13</v>
      </c>
      <c r="B34" s="107" t="s">
        <v>277</v>
      </c>
      <c r="C34" s="108" t="s">
        <v>233</v>
      </c>
      <c r="D34" s="108"/>
      <c r="E34" s="108" t="s">
        <v>273</v>
      </c>
      <c r="F34" s="108" t="s">
        <v>218</v>
      </c>
      <c r="G34" s="109">
        <v>18.36</v>
      </c>
      <c r="H34" s="109"/>
      <c r="I34" s="109"/>
      <c r="J34" s="96" t="s">
        <v>273</v>
      </c>
      <c r="K34" s="96" t="s">
        <v>146</v>
      </c>
      <c r="L34" s="43">
        <f>VLOOKUP(K34,Reinigungstage!A10:G31,7,FALSE)</f>
        <v>25</v>
      </c>
      <c r="M34" s="43">
        <f t="shared" si="0"/>
        <v>459</v>
      </c>
      <c r="N34" s="110">
        <f t="shared" si="1"/>
        <v>0</v>
      </c>
      <c r="O34" s="43">
        <f ca="1">IF('SVS UnterhaltsRG'!H61="",0,'SVS UnterhaltsRG'!H61)</f>
        <v>0</v>
      </c>
      <c r="P34" s="43">
        <f t="shared" si="2"/>
        <v>0</v>
      </c>
      <c r="Q34" s="43">
        <f t="shared" ca="1" si="3"/>
        <v>0</v>
      </c>
      <c r="R34" s="43">
        <f t="shared" si="4"/>
        <v>0</v>
      </c>
      <c r="S34" s="43">
        <f t="shared" ca="1" si="5"/>
        <v>0</v>
      </c>
      <c r="T34" s="3" t="str">
        <f t="shared" si="6"/>
        <v>Leistungswert eintragen</v>
      </c>
      <c r="U34" s="3">
        <f t="shared" si="7"/>
        <v>220</v>
      </c>
      <c r="V34" s="3">
        <f t="shared" si="8"/>
        <v>0</v>
      </c>
    </row>
    <row r="35" spans="1:22" ht="15" customHeight="1" x14ac:dyDescent="0.2">
      <c r="A35" s="96">
        <v>14</v>
      </c>
      <c r="B35" s="107"/>
      <c r="C35" s="108" t="s">
        <v>233</v>
      </c>
      <c r="D35" s="108"/>
      <c r="E35" s="108" t="s">
        <v>219</v>
      </c>
      <c r="F35" s="108" t="s">
        <v>220</v>
      </c>
      <c r="G35" s="109">
        <v>2.1800000000000002</v>
      </c>
      <c r="H35" s="109"/>
      <c r="I35" s="109"/>
      <c r="J35" s="96" t="s">
        <v>259</v>
      </c>
      <c r="K35" s="96" t="s">
        <v>146</v>
      </c>
      <c r="L35" s="43">
        <f>VLOOKUP(K35,Reinigungstage!A10:G31,7,FALSE)</f>
        <v>25</v>
      </c>
      <c r="M35" s="43">
        <f t="shared" si="0"/>
        <v>54.5</v>
      </c>
      <c r="N35" s="110">
        <f t="shared" si="1"/>
        <v>0</v>
      </c>
      <c r="O35" s="43">
        <f ca="1">IF('SVS UnterhaltsRG'!H61="",0,'SVS UnterhaltsRG'!H61)</f>
        <v>0</v>
      </c>
      <c r="P35" s="43">
        <f t="shared" si="2"/>
        <v>0</v>
      </c>
      <c r="Q35" s="43">
        <f t="shared" ca="1" si="3"/>
        <v>0</v>
      </c>
      <c r="R35" s="43">
        <f t="shared" si="4"/>
        <v>0</v>
      </c>
      <c r="S35" s="43">
        <f t="shared" ca="1" si="5"/>
        <v>0</v>
      </c>
      <c r="T35" s="3" t="str">
        <f t="shared" si="6"/>
        <v>Leistungswert eintragen</v>
      </c>
      <c r="U35" s="3">
        <f t="shared" si="7"/>
        <v>75</v>
      </c>
      <c r="V35" s="3">
        <f t="shared" si="8"/>
        <v>0</v>
      </c>
    </row>
    <row r="36" spans="1:22" ht="15" customHeight="1" x14ac:dyDescent="0.2">
      <c r="A36" s="96">
        <v>15</v>
      </c>
      <c r="B36" s="107"/>
      <c r="C36" s="108" t="s">
        <v>233</v>
      </c>
      <c r="D36" s="108"/>
      <c r="E36" s="108" t="s">
        <v>274</v>
      </c>
      <c r="F36" s="108" t="s">
        <v>220</v>
      </c>
      <c r="G36" s="109">
        <v>9.66</v>
      </c>
      <c r="H36" s="109"/>
      <c r="I36" s="109"/>
      <c r="J36" s="96" t="s">
        <v>259</v>
      </c>
      <c r="K36" s="96" t="s">
        <v>146</v>
      </c>
      <c r="L36" s="43">
        <f>VLOOKUP(K36,Reinigungstage!A10:G31,7,FALSE)</f>
        <v>25</v>
      </c>
      <c r="M36" s="43">
        <f t="shared" si="0"/>
        <v>241.5</v>
      </c>
      <c r="N36" s="110">
        <f t="shared" si="1"/>
        <v>0</v>
      </c>
      <c r="O36" s="43">
        <f ca="1">IF('SVS UnterhaltsRG'!H61="",0,'SVS UnterhaltsRG'!H61)</f>
        <v>0</v>
      </c>
      <c r="P36" s="43">
        <f t="shared" si="2"/>
        <v>0</v>
      </c>
      <c r="Q36" s="43">
        <f t="shared" ca="1" si="3"/>
        <v>0</v>
      </c>
      <c r="R36" s="43">
        <f t="shared" si="4"/>
        <v>0</v>
      </c>
      <c r="S36" s="43">
        <f t="shared" ca="1" si="5"/>
        <v>0</v>
      </c>
      <c r="T36" s="3" t="str">
        <f t="shared" si="6"/>
        <v>Leistungswert eintragen</v>
      </c>
      <c r="U36" s="3">
        <f t="shared" si="7"/>
        <v>75</v>
      </c>
      <c r="V36" s="3">
        <f t="shared" si="8"/>
        <v>0</v>
      </c>
    </row>
    <row r="37" spans="1:22" ht="15" customHeight="1" x14ac:dyDescent="0.2">
      <c r="A37" s="96">
        <v>16</v>
      </c>
      <c r="B37" s="107" t="s">
        <v>278</v>
      </c>
      <c r="C37" s="108" t="s">
        <v>233</v>
      </c>
      <c r="D37" s="108"/>
      <c r="E37" s="108" t="s">
        <v>274</v>
      </c>
      <c r="F37" s="108" t="s">
        <v>220</v>
      </c>
      <c r="G37" s="109">
        <v>4.3099999999999996</v>
      </c>
      <c r="H37" s="109"/>
      <c r="I37" s="109"/>
      <c r="J37" s="96" t="s">
        <v>259</v>
      </c>
      <c r="K37" s="96" t="s">
        <v>146</v>
      </c>
      <c r="L37" s="43">
        <f>VLOOKUP(K37,Reinigungstage!A10:G31,7,FALSE)</f>
        <v>25</v>
      </c>
      <c r="M37" s="43">
        <f t="shared" si="0"/>
        <v>107.75</v>
      </c>
      <c r="N37" s="110">
        <f t="shared" si="1"/>
        <v>0</v>
      </c>
      <c r="O37" s="43">
        <f ca="1">IF('SVS UnterhaltsRG'!H61="",0,'SVS UnterhaltsRG'!H61)</f>
        <v>0</v>
      </c>
      <c r="P37" s="43">
        <f t="shared" si="2"/>
        <v>0</v>
      </c>
      <c r="Q37" s="43">
        <f t="shared" ca="1" si="3"/>
        <v>0</v>
      </c>
      <c r="R37" s="43">
        <f t="shared" si="4"/>
        <v>0</v>
      </c>
      <c r="S37" s="43">
        <f t="shared" ca="1" si="5"/>
        <v>0</v>
      </c>
      <c r="T37" s="3" t="str">
        <f t="shared" si="6"/>
        <v>Leistungswert eintragen</v>
      </c>
      <c r="U37" s="3">
        <f t="shared" si="7"/>
        <v>75</v>
      </c>
      <c r="V37" s="3">
        <f t="shared" si="8"/>
        <v>0</v>
      </c>
    </row>
    <row r="38" spans="1:22" ht="15" customHeight="1" x14ac:dyDescent="0.2">
      <c r="A38" s="96">
        <v>17</v>
      </c>
      <c r="B38" s="107" t="s">
        <v>279</v>
      </c>
      <c r="C38" s="108" t="s">
        <v>233</v>
      </c>
      <c r="D38" s="108"/>
      <c r="E38" s="108" t="s">
        <v>273</v>
      </c>
      <c r="F38" s="108" t="s">
        <v>218</v>
      </c>
      <c r="G38" s="109">
        <v>18.329999999999998</v>
      </c>
      <c r="H38" s="109"/>
      <c r="I38" s="109"/>
      <c r="J38" s="96" t="s">
        <v>273</v>
      </c>
      <c r="K38" s="96" t="s">
        <v>146</v>
      </c>
      <c r="L38" s="43">
        <f>VLOOKUP(K38,Reinigungstage!A10:G31,7,FALSE)</f>
        <v>25</v>
      </c>
      <c r="M38" s="43">
        <f t="shared" si="0"/>
        <v>458.25</v>
      </c>
      <c r="N38" s="110">
        <f t="shared" si="1"/>
        <v>0</v>
      </c>
      <c r="O38" s="43">
        <f ca="1">IF('SVS UnterhaltsRG'!H61="",0,'SVS UnterhaltsRG'!H61)</f>
        <v>0</v>
      </c>
      <c r="P38" s="43">
        <f t="shared" si="2"/>
        <v>0</v>
      </c>
      <c r="Q38" s="43">
        <f t="shared" ca="1" si="3"/>
        <v>0</v>
      </c>
      <c r="R38" s="43">
        <f t="shared" si="4"/>
        <v>0</v>
      </c>
      <c r="S38" s="43">
        <f t="shared" ca="1" si="5"/>
        <v>0</v>
      </c>
      <c r="T38" s="3" t="str">
        <f t="shared" si="6"/>
        <v>Leistungswert eintragen</v>
      </c>
      <c r="U38" s="3">
        <f t="shared" si="7"/>
        <v>220</v>
      </c>
      <c r="V38" s="3">
        <f t="shared" si="8"/>
        <v>0</v>
      </c>
    </row>
    <row r="39" spans="1:22" ht="15" customHeight="1" x14ac:dyDescent="0.2">
      <c r="A39" s="96">
        <v>18</v>
      </c>
      <c r="B39" s="107"/>
      <c r="C39" s="108" t="s">
        <v>233</v>
      </c>
      <c r="D39" s="108"/>
      <c r="E39" s="108" t="s">
        <v>274</v>
      </c>
      <c r="F39" s="108" t="s">
        <v>220</v>
      </c>
      <c r="G39" s="109">
        <v>9.66</v>
      </c>
      <c r="H39" s="109"/>
      <c r="I39" s="109"/>
      <c r="J39" s="96" t="s">
        <v>259</v>
      </c>
      <c r="K39" s="96" t="s">
        <v>146</v>
      </c>
      <c r="L39" s="43">
        <f>VLOOKUP(K39,Reinigungstage!A10:G31,7,FALSE)</f>
        <v>25</v>
      </c>
      <c r="M39" s="43">
        <f t="shared" si="0"/>
        <v>241.5</v>
      </c>
      <c r="N39" s="110">
        <f t="shared" si="1"/>
        <v>0</v>
      </c>
      <c r="O39" s="43">
        <f ca="1">IF('SVS UnterhaltsRG'!H61="",0,'SVS UnterhaltsRG'!H61)</f>
        <v>0</v>
      </c>
      <c r="P39" s="43">
        <f t="shared" si="2"/>
        <v>0</v>
      </c>
      <c r="Q39" s="43">
        <f t="shared" ca="1" si="3"/>
        <v>0</v>
      </c>
      <c r="R39" s="43">
        <f t="shared" si="4"/>
        <v>0</v>
      </c>
      <c r="S39" s="43">
        <f t="shared" ca="1" si="5"/>
        <v>0</v>
      </c>
      <c r="T39" s="3" t="str">
        <f t="shared" si="6"/>
        <v>Leistungswert eintragen</v>
      </c>
      <c r="U39" s="3">
        <f t="shared" si="7"/>
        <v>75</v>
      </c>
      <c r="V39" s="3">
        <f t="shared" si="8"/>
        <v>0</v>
      </c>
    </row>
    <row r="40" spans="1:22" ht="15" customHeight="1" x14ac:dyDescent="0.2">
      <c r="A40" s="96">
        <v>19</v>
      </c>
      <c r="B40" s="107"/>
      <c r="C40" s="108" t="s">
        <v>233</v>
      </c>
      <c r="D40" s="108"/>
      <c r="E40" s="108" t="s">
        <v>219</v>
      </c>
      <c r="F40" s="108" t="s">
        <v>220</v>
      </c>
      <c r="G40" s="109">
        <v>2.13</v>
      </c>
      <c r="H40" s="109"/>
      <c r="I40" s="109"/>
      <c r="J40" s="96" t="s">
        <v>259</v>
      </c>
      <c r="K40" s="96" t="s">
        <v>146</v>
      </c>
      <c r="L40" s="43">
        <f>VLOOKUP(K40,Reinigungstage!A10:G31,7,FALSE)</f>
        <v>25</v>
      </c>
      <c r="M40" s="43">
        <f t="shared" si="0"/>
        <v>53.25</v>
      </c>
      <c r="N40" s="110">
        <f t="shared" si="1"/>
        <v>0</v>
      </c>
      <c r="O40" s="43">
        <f ca="1">IF('SVS UnterhaltsRG'!H61="",0,'SVS UnterhaltsRG'!H61)</f>
        <v>0</v>
      </c>
      <c r="P40" s="43">
        <f t="shared" si="2"/>
        <v>0</v>
      </c>
      <c r="Q40" s="43">
        <f t="shared" ca="1" si="3"/>
        <v>0</v>
      </c>
      <c r="R40" s="43">
        <f t="shared" si="4"/>
        <v>0</v>
      </c>
      <c r="S40" s="43">
        <f t="shared" ca="1" si="5"/>
        <v>0</v>
      </c>
      <c r="T40" s="3" t="str">
        <f t="shared" si="6"/>
        <v>Leistungswert eintragen</v>
      </c>
      <c r="U40" s="3">
        <f t="shared" si="7"/>
        <v>75</v>
      </c>
      <c r="V40" s="3">
        <f t="shared" si="8"/>
        <v>0</v>
      </c>
    </row>
    <row r="41" spans="1:22" ht="15" customHeight="1" x14ac:dyDescent="0.2">
      <c r="A41" s="96">
        <v>20</v>
      </c>
      <c r="B41" s="107"/>
      <c r="C41" s="108" t="s">
        <v>233</v>
      </c>
      <c r="D41" s="108"/>
      <c r="E41" s="108" t="s">
        <v>280</v>
      </c>
      <c r="F41" s="108" t="s">
        <v>281</v>
      </c>
      <c r="G41" s="109">
        <v>23.14</v>
      </c>
      <c r="H41" s="109"/>
      <c r="I41" s="109"/>
      <c r="J41" s="96" t="s">
        <v>260</v>
      </c>
      <c r="K41" s="96" t="s">
        <v>146</v>
      </c>
      <c r="L41" s="43">
        <f>VLOOKUP(K41,Reinigungstage!A10:G31,7,FALSE)</f>
        <v>25</v>
      </c>
      <c r="M41" s="43">
        <f t="shared" si="0"/>
        <v>578.5</v>
      </c>
      <c r="N41" s="110">
        <f t="shared" si="1"/>
        <v>0</v>
      </c>
      <c r="O41" s="43">
        <f ca="1">IF('SVS UnterhaltsRG'!H61="",0,'SVS UnterhaltsRG'!H61)</f>
        <v>0</v>
      </c>
      <c r="P41" s="43">
        <f t="shared" si="2"/>
        <v>0</v>
      </c>
      <c r="Q41" s="43">
        <f t="shared" ca="1" si="3"/>
        <v>0</v>
      </c>
      <c r="R41" s="43">
        <f t="shared" si="4"/>
        <v>0</v>
      </c>
      <c r="S41" s="43">
        <f t="shared" ca="1" si="5"/>
        <v>0</v>
      </c>
      <c r="T41" s="3" t="str">
        <f t="shared" si="6"/>
        <v>Leistungswert eintragen</v>
      </c>
      <c r="U41" s="3">
        <f t="shared" si="7"/>
        <v>450</v>
      </c>
      <c r="V41" s="3">
        <f t="shared" si="8"/>
        <v>0</v>
      </c>
    </row>
    <row r="42" spans="1:22" ht="15" customHeight="1" x14ac:dyDescent="0.2">
      <c r="A42" s="96">
        <v>21</v>
      </c>
      <c r="B42" s="107"/>
      <c r="C42" s="108" t="s">
        <v>233</v>
      </c>
      <c r="D42" s="108" t="s">
        <v>153</v>
      </c>
      <c r="E42" s="108" t="s">
        <v>280</v>
      </c>
      <c r="F42" s="108" t="s">
        <v>281</v>
      </c>
      <c r="G42" s="109">
        <v>15.62</v>
      </c>
      <c r="H42" s="109"/>
      <c r="I42" s="109">
        <v>1</v>
      </c>
      <c r="J42" s="96" t="s">
        <v>260</v>
      </c>
      <c r="K42" s="96" t="s">
        <v>146</v>
      </c>
      <c r="L42" s="43">
        <f>VLOOKUP(K42,Reinigungstage!A10:G31,7,FALSE)</f>
        <v>25</v>
      </c>
      <c r="M42" s="43">
        <f t="shared" si="0"/>
        <v>390.5</v>
      </c>
      <c r="N42" s="110">
        <f t="shared" si="1"/>
        <v>0</v>
      </c>
      <c r="O42" s="43">
        <f ca="1">IF('SVS UnterhaltsRG'!H61="",0,'SVS UnterhaltsRG'!H61)</f>
        <v>0</v>
      </c>
      <c r="P42" s="43">
        <f t="shared" si="2"/>
        <v>0</v>
      </c>
      <c r="Q42" s="43">
        <f t="shared" ca="1" si="3"/>
        <v>0</v>
      </c>
      <c r="R42" s="43">
        <f t="shared" si="4"/>
        <v>0</v>
      </c>
      <c r="S42" s="43">
        <f t="shared" ca="1" si="5"/>
        <v>0</v>
      </c>
      <c r="T42" s="3" t="str">
        <f t="shared" si="6"/>
        <v>Leistungswert eintragen</v>
      </c>
      <c r="U42" s="3">
        <f t="shared" si="7"/>
        <v>450</v>
      </c>
      <c r="V42" s="3">
        <f t="shared" si="8"/>
        <v>0</v>
      </c>
    </row>
    <row r="43" spans="1:22" ht="15" customHeight="1" x14ac:dyDescent="0.2">
      <c r="A43" s="96">
        <v>22</v>
      </c>
      <c r="B43" s="107"/>
      <c r="C43" s="108" t="s">
        <v>233</v>
      </c>
      <c r="D43" s="108"/>
      <c r="E43" s="108" t="s">
        <v>235</v>
      </c>
      <c r="F43" s="108" t="s">
        <v>218</v>
      </c>
      <c r="G43" s="109">
        <v>3.43</v>
      </c>
      <c r="H43" s="109"/>
      <c r="I43" s="109"/>
      <c r="J43" s="96" t="s">
        <v>237</v>
      </c>
      <c r="K43" s="96" t="s">
        <v>146</v>
      </c>
      <c r="L43" s="43">
        <f>VLOOKUP(K43,Reinigungstage!A10:G31,7,FALSE)</f>
        <v>25</v>
      </c>
      <c r="M43" s="43">
        <f t="shared" si="0"/>
        <v>85.75</v>
      </c>
      <c r="N43" s="110">
        <f t="shared" si="1"/>
        <v>0</v>
      </c>
      <c r="O43" s="43">
        <f ca="1">IF('SVS UnterhaltsRG'!H61="",0,'SVS UnterhaltsRG'!H61)</f>
        <v>0</v>
      </c>
      <c r="P43" s="43">
        <f t="shared" si="2"/>
        <v>0</v>
      </c>
      <c r="Q43" s="43">
        <f t="shared" ca="1" si="3"/>
        <v>0</v>
      </c>
      <c r="R43" s="43">
        <f t="shared" si="4"/>
        <v>0</v>
      </c>
      <c r="S43" s="43">
        <f t="shared" ca="1" si="5"/>
        <v>0</v>
      </c>
      <c r="T43" s="3" t="str">
        <f t="shared" si="6"/>
        <v>Leistungswert eintragen</v>
      </c>
      <c r="U43" s="3">
        <f t="shared" si="7"/>
        <v>195</v>
      </c>
      <c r="V43" s="3">
        <f t="shared" si="8"/>
        <v>0</v>
      </c>
    </row>
  </sheetData>
  <sheetProtection algorithmName="SHA-512" hashValue="vqQyRgTaLBeyXRHeHeZk06TufojM1boo7Sngy2RKxind9B7w4n3baZclAGkFseL6suS09yYj+TRSJzFS8Gm8jQ==" saltValue="h5GcBREDB22D1otQpQnlzg==" spinCount="100000" sheet="1" objects="1" scenarios="1"/>
  <sortState xmlns:xlrd2="http://schemas.microsoft.com/office/spreadsheetml/2017/richdata2" ref="U4:U10">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4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43" priority="5" operator="containsText" text="Bitte prüfen Sie diese.">
      <formula>NOT(ISERROR(SEARCH("Bitte prüfen Sie diese.",L9)))</formula>
    </cfRule>
  </conditionalFormatting>
  <conditionalFormatting sqref="L10">
    <cfRule type="containsText" dxfId="4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41" priority="3" operator="containsText" text="lediglich Fehleingaben vermeiden wollen.">
      <formula>NOT(ISERROR(SEARCH("lediglich Fehleingaben vermeiden wollen.",L11)))</formula>
    </cfRule>
  </conditionalFormatting>
  <conditionalFormatting sqref="M11">
    <cfRule type="containsText" dxfId="4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39" priority="7" operator="containsText" text="für die Objektart prüfen.">
      <formula>NOT(ISERROR(SEARCH("für die Objektart prüfen.",M12)))</formula>
    </cfRule>
  </conditionalFormatting>
  <conditionalFormatting sqref="N13">
    <cfRule type="expression" dxfId="38" priority="2" stopIfTrue="1">
      <formula>N13=0</formula>
    </cfRule>
  </conditionalFormatting>
  <conditionalFormatting sqref="N14">
    <cfRule type="expression" dxfId="37" priority="1">
      <formula>N14=0</formula>
    </cfRule>
  </conditionalFormatting>
  <conditionalFormatting sqref="N22:N43">
    <cfRule type="expression" dxfId="36" priority="11">
      <formula>V22=0</formula>
    </cfRule>
    <cfRule type="expression" dxfId="35" priority="12" stopIfTrue="1">
      <formula>V22=1</formula>
    </cfRule>
  </conditionalFormatting>
  <conditionalFormatting sqref="O13">
    <cfRule type="containsText" dxfId="3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33" priority="9" operator="containsText" text="Wert(e) prüfen.">
      <formula>NOT(ISERROR(SEARCH("Wert(e) prüfen.",O14)))</formula>
    </cfRule>
  </conditionalFormatting>
  <conditionalFormatting sqref="T22:T43">
    <cfRule type="containsText" dxfId="32" priority="13" stopIfTrue="1" operator="containsText" text="SVS prüfen">
      <formula>NOT(ISERROR(SEARCH("SVS prüfen",T22)))</formula>
    </cfRule>
    <cfRule type="containsText" dxfId="31" priority="14" stopIfTrue="1" operator="containsText" text="Leistungswert eintragen">
      <formula>NOT(ISERROR(SEARCH("Leistungswert eintragen",T22)))</formula>
    </cfRule>
  </conditionalFormatting>
  <hyperlinks>
    <hyperlink ref="M1" location="Inhaltsverzeichnis!A1" display="Zurück zum Inhaltsverzeichnis" xr:uid="{FBBD30C1-7F9C-4846-A070-B08870DF77E3}"/>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Unter Bed SH Pannwitz</oddFooter>
  </headerFooter>
  <rowBreaks count="1" manualBreakCount="1">
    <brk id="43"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956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957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957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957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0ADC-CFCA-4B24-A72E-7943CC137D50}">
  <sheetPr codeName="Tabelle37">
    <tabColor indexed="40"/>
  </sheetPr>
  <dimension ref="A1:V3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7" t="s">
        <v>151</v>
      </c>
      <c r="B2" s="158"/>
      <c r="C2" s="158"/>
      <c r="D2" s="158" t="b">
        <v>0</v>
      </c>
      <c r="E2" s="159"/>
      <c r="G2" s="160" t="s">
        <v>164</v>
      </c>
      <c r="H2" s="160" t="s">
        <v>156</v>
      </c>
      <c r="I2" s="160" t="s">
        <v>157</v>
      </c>
      <c r="J2" s="160" t="s">
        <v>176</v>
      </c>
      <c r="M2" s="21"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1" customHeight="1" x14ac:dyDescent="0.2">
      <c r="A3" s="93" t="s">
        <v>209</v>
      </c>
      <c r="B3" s="94"/>
      <c r="C3" s="94"/>
      <c r="D3" s="94"/>
      <c r="E3" s="95"/>
      <c r="G3" s="161"/>
      <c r="H3" s="161" t="b">
        <v>0</v>
      </c>
      <c r="I3" s="161"/>
      <c r="J3" s="161"/>
      <c r="M3" s="21" t="b">
        <v>0</v>
      </c>
      <c r="N3" s="132"/>
      <c r="O3" s="132"/>
      <c r="P3" s="132"/>
      <c r="Q3" s="132"/>
    </row>
    <row r="4" spans="1:22" ht="15" customHeight="1" x14ac:dyDescent="0.2">
      <c r="A4" s="155" t="s">
        <v>91</v>
      </c>
      <c r="B4" s="165" t="str">
        <f>IF(Inhaltsverzeichnis!C3="","",Inhaltsverzeichnis!C3)</f>
        <v/>
      </c>
      <c r="C4" s="166"/>
      <c r="D4" s="166"/>
      <c r="E4" s="167"/>
      <c r="G4" s="96" t="s">
        <v>237</v>
      </c>
      <c r="H4" s="97"/>
      <c r="I4" s="98">
        <f ca="1">SUMIF('Kal Unter Bed Sportplatz'!J22:M31,$G$4,'Kal Unter Bed Sportplatz'!M22:M31)</f>
        <v>116.4</v>
      </c>
      <c r="J4" s="69">
        <f>COUNTIFS('Kal Unter Bed Sportplatz'!J22:M31,$G$4)</f>
        <v>1</v>
      </c>
      <c r="M4" s="21" t="b">
        <v>0</v>
      </c>
      <c r="N4" s="132"/>
      <c r="O4" s="132"/>
      <c r="P4" s="132"/>
      <c r="Q4" s="132"/>
      <c r="U4" s="96" t="s">
        <v>237</v>
      </c>
      <c r="V4" s="3">
        <v>195</v>
      </c>
    </row>
    <row r="5" spans="1:22" ht="15" customHeight="1" x14ac:dyDescent="0.2">
      <c r="A5" s="156"/>
      <c r="B5" s="168"/>
      <c r="C5" s="169"/>
      <c r="D5" s="169"/>
      <c r="E5" s="170"/>
      <c r="G5" s="96" t="s">
        <v>261</v>
      </c>
      <c r="H5" s="97"/>
      <c r="I5" s="98">
        <f ca="1">SUMIF('Kal Unter Bed Sportplatz'!J22:M31,$G$5,'Kal Unter Bed Sportplatz'!M22:M31)</f>
        <v>645.15</v>
      </c>
      <c r="J5" s="69">
        <f>COUNTIFS('Kal Unter Bed Sportplatz'!J22:M31,$G$5)</f>
        <v>1</v>
      </c>
      <c r="M5" s="21" t="b">
        <v>0</v>
      </c>
      <c r="N5" s="132"/>
      <c r="O5" s="132"/>
      <c r="P5" s="132"/>
      <c r="Q5" s="132"/>
      <c r="U5" s="96" t="s">
        <v>261</v>
      </c>
      <c r="V5" s="3">
        <v>215</v>
      </c>
    </row>
    <row r="6" spans="1:22" ht="15" customHeight="1" x14ac:dyDescent="0.2">
      <c r="A6" s="99" t="s">
        <v>174</v>
      </c>
      <c r="B6" s="171" t="s">
        <v>201</v>
      </c>
      <c r="C6" s="172"/>
      <c r="D6" s="172"/>
      <c r="E6" s="173"/>
      <c r="G6" s="96" t="s">
        <v>259</v>
      </c>
      <c r="H6" s="97"/>
      <c r="I6" s="98">
        <f ca="1">SUMIF('Kal Unter Bed Sportplatz'!J22:M31,$G$6,'Kal Unter Bed Sportplatz'!M22:M31)</f>
        <v>724.5</v>
      </c>
      <c r="J6" s="69">
        <f>COUNTIFS('Kal Unter Bed Sportplatz'!J22:M31,$G$6)</f>
        <v>4</v>
      </c>
      <c r="U6" s="96" t="s">
        <v>259</v>
      </c>
      <c r="V6" s="3">
        <v>75</v>
      </c>
    </row>
    <row r="7" spans="1:22" ht="15" customHeight="1" x14ac:dyDescent="0.2">
      <c r="A7" s="100" t="s">
        <v>172</v>
      </c>
      <c r="B7" s="174" t="s">
        <v>211</v>
      </c>
      <c r="C7" s="172"/>
      <c r="D7" s="172"/>
      <c r="E7" s="173"/>
      <c r="G7" s="96" t="s">
        <v>273</v>
      </c>
      <c r="H7" s="97"/>
      <c r="I7" s="98">
        <f ca="1">SUMIF('Kal Unter Bed Sportplatz'!J22:M31,$G$7,'Kal Unter Bed Sportplatz'!M22:M31)</f>
        <v>751.34999999999991</v>
      </c>
      <c r="J7" s="69">
        <f>COUNTIFS('Kal Unter Bed Sportplatz'!J22:M31,$G$7)</f>
        <v>3</v>
      </c>
      <c r="U7" s="96" t="s">
        <v>273</v>
      </c>
      <c r="V7" s="3">
        <v>220</v>
      </c>
    </row>
    <row r="8" spans="1:22" ht="15" customHeight="1" x14ac:dyDescent="0.2">
      <c r="A8" s="100" t="s">
        <v>173</v>
      </c>
      <c r="B8" s="171" t="s">
        <v>212</v>
      </c>
      <c r="C8" s="172"/>
      <c r="D8" s="172"/>
      <c r="E8" s="173"/>
      <c r="G8" s="96" t="s">
        <v>260</v>
      </c>
      <c r="H8" s="97"/>
      <c r="I8" s="98">
        <f ca="1">SUMIF('Kal Unter Bed Sportplatz'!J22:M31,$G$8,'Kal Unter Bed Sportplatz'!M22:M31)</f>
        <v>356.1</v>
      </c>
      <c r="J8" s="69">
        <f>COUNTIFS('Kal Unter Bed Sportplatz'!J22:M31,$G$8)</f>
        <v>1</v>
      </c>
      <c r="U8" s="96" t="s">
        <v>260</v>
      </c>
      <c r="V8" s="3">
        <v>450</v>
      </c>
    </row>
    <row r="9" spans="1:22" ht="15" customHeight="1" x14ac:dyDescent="0.2">
      <c r="A9" s="99" t="s">
        <v>171</v>
      </c>
      <c r="B9" s="175" t="s">
        <v>210</v>
      </c>
      <c r="C9" s="172"/>
      <c r="D9" s="172"/>
      <c r="E9" s="173"/>
    </row>
    <row r="10" spans="1:22" ht="15" customHeight="1" x14ac:dyDescent="0.2">
      <c r="A10" s="100" t="s">
        <v>153</v>
      </c>
      <c r="B10" s="171" t="s">
        <v>213</v>
      </c>
      <c r="C10" s="172"/>
      <c r="D10" s="172"/>
      <c r="E10" s="173"/>
    </row>
    <row r="11" spans="1:22" ht="15" customHeight="1" x14ac:dyDescent="0.2">
      <c r="A11" s="100" t="s">
        <v>154</v>
      </c>
      <c r="B11" s="176" t="s">
        <v>205</v>
      </c>
      <c r="C11" s="172"/>
      <c r="D11" s="172"/>
      <c r="E11" s="173"/>
      <c r="M11" s="3" t="str">
        <f>IF(N13&gt;0,"Bitte die Leistungswerte im Leistungsverzeichnis/ Tabellenblatt Leistungsrichtwerte","")</f>
        <v/>
      </c>
    </row>
    <row r="12" spans="1:22" ht="15" customHeight="1" x14ac:dyDescent="0.2">
      <c r="A12" s="100" t="s">
        <v>155</v>
      </c>
      <c r="B12" s="171" t="s">
        <v>206</v>
      </c>
      <c r="C12" s="172"/>
      <c r="D12" s="172"/>
      <c r="E12" s="173"/>
      <c r="M12" s="3" t="str">
        <f>IF(N13&gt;0,"für die Objektart prüfen.","")</f>
        <v/>
      </c>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c r="N13" s="101">
        <f>COUNTIF(V22:V$31,1)</f>
        <v>0</v>
      </c>
      <c r="O13" s="3" t="str">
        <f>IF(N13&gt;0,"Wert(e) überschritten, bitte mit dem Angebot plausibel darlegen.","")</f>
        <v/>
      </c>
    </row>
    <row r="14" spans="1:22" ht="15" customHeight="1" x14ac:dyDescent="0.2">
      <c r="N14" s="102">
        <f>COUNTIF(V22:V$31,0)</f>
        <v>10</v>
      </c>
      <c r="O14" s="3" t="str">
        <f>IF(N14&gt;0,"Wert(e) korrekt","")</f>
        <v>Wert(e) korrekt</v>
      </c>
      <c r="T14" s="103">
        <f>IF(COUNTA($T$22:$T$31)-COUNTBLANK($T$22:$T$31)=0,"",COUNTA($T$22:$T$31)-COUNTBLANK($T$22:$T$31))</f>
        <v>10</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135</v>
      </c>
      <c r="M20" s="1" t="s">
        <v>109</v>
      </c>
      <c r="N20" s="1" t="s">
        <v>105</v>
      </c>
      <c r="O20" s="1" t="s">
        <v>110</v>
      </c>
      <c r="P20" s="1" t="s">
        <v>111</v>
      </c>
      <c r="Q20" s="1" t="s">
        <v>112</v>
      </c>
      <c r="R20" s="1" t="s">
        <v>175</v>
      </c>
      <c r="S20" s="1" t="s">
        <v>134</v>
      </c>
    </row>
    <row r="21" spans="1:22" ht="29.1" customHeight="1" x14ac:dyDescent="0.2">
      <c r="A21" s="104" t="s">
        <v>119</v>
      </c>
      <c r="B21" s="12"/>
      <c r="C21" s="12"/>
      <c r="D21" s="12"/>
      <c r="E21" s="12"/>
      <c r="F21" s="12"/>
      <c r="G21" s="105">
        <f>SUM($G$22:$G$31)</f>
        <v>172.9</v>
      </c>
      <c r="H21" s="105">
        <f>SUM($H$22:$H$31)</f>
        <v>0</v>
      </c>
      <c r="I21" s="105">
        <f>SUM($I$22:$I$31)</f>
        <v>0</v>
      </c>
      <c r="J21" s="43"/>
      <c r="K21" s="43"/>
      <c r="L21" s="106">
        <f>MAX(L22:L31)</f>
        <v>15</v>
      </c>
      <c r="M21" s="105">
        <f>SUM($M$22:$M$31)</f>
        <v>2593.5</v>
      </c>
      <c r="N21" s="43"/>
      <c r="O21" s="43"/>
      <c r="P21" s="105">
        <f>SUM($P$22:$P$31)</f>
        <v>0</v>
      </c>
      <c r="Q21" s="105">
        <f ca="1">SUM($Q$22:$Q$31)</f>
        <v>0</v>
      </c>
      <c r="R21" s="105">
        <f>ROUND(IF(L21=0,0,P21/L21),2)</f>
        <v>0</v>
      </c>
      <c r="S21" s="105">
        <f ca="1">ROUND(IF(L21=0,0,Q21/L21),2)</f>
        <v>0</v>
      </c>
    </row>
    <row r="22" spans="1:22" ht="15" customHeight="1" x14ac:dyDescent="0.2">
      <c r="A22" s="96">
        <v>1</v>
      </c>
      <c r="B22" s="107"/>
      <c r="C22" s="108" t="s">
        <v>233</v>
      </c>
      <c r="D22" s="108"/>
      <c r="E22" s="108" t="s">
        <v>222</v>
      </c>
      <c r="F22" s="108" t="s">
        <v>284</v>
      </c>
      <c r="G22" s="109">
        <v>23.74</v>
      </c>
      <c r="H22" s="109"/>
      <c r="I22" s="109"/>
      <c r="J22" s="96" t="s">
        <v>260</v>
      </c>
      <c r="K22" s="96" t="s">
        <v>146</v>
      </c>
      <c r="L22" s="43">
        <f>VLOOKUP(K22,Reinigungstage!A10:H31,8,FALSE)</f>
        <v>15</v>
      </c>
      <c r="M22" s="43">
        <f t="shared" ref="M22:M31" si="0">ROUND(IF(L22=0,0,L22*G22),2)</f>
        <v>356.1</v>
      </c>
      <c r="N22" s="110">
        <f t="shared" ref="N22:N31" si="1">VLOOKUP(J22,$G$4:$H$8,2,FALSE)</f>
        <v>0</v>
      </c>
      <c r="O22" s="43">
        <f ca="1">IF('SVS UnterhaltsRG'!H61="",0,'SVS UnterhaltsRG'!H61)</f>
        <v>0</v>
      </c>
      <c r="P22" s="43">
        <f t="shared" ref="P22:P31" si="2">ROUND(IF(N22=0,0,M22/N22),2)</f>
        <v>0</v>
      </c>
      <c r="Q22" s="43">
        <f t="shared" ref="Q22:Q31" ca="1" si="3">IF(M22=0,0,IF(O22="",0,ROUND(P22*O22,2)))</f>
        <v>0</v>
      </c>
      <c r="R22" s="43">
        <f t="shared" ref="R22:R31" si="4">ROUND(IF(P22=0,0,P22/L22),2)</f>
        <v>0</v>
      </c>
      <c r="S22" s="43">
        <f t="shared" ref="S22:S31" ca="1" si="5">ROUND(IF(Q22=0,0,Q22/L22),2)</f>
        <v>0</v>
      </c>
      <c r="T22" s="3" t="str">
        <f t="shared" ref="T22:T31" si="6">IF(M22=0,"",IF(N22=0,"Leistungswert eintragen",IF(O22=0,"SVS prüfen","")))</f>
        <v>Leistungswert eintragen</v>
      </c>
      <c r="U22" s="3">
        <f t="shared" ref="U22:U31" si="7">VLOOKUP(J22,$U$4:$V$8,2,FALSE)</f>
        <v>450</v>
      </c>
      <c r="V22" s="3">
        <f t="shared" ref="V22:V31" si="8">IF(M22=0,0,IF(U22&lt;N22,1,IF(U22&gt;=N22,0,"")))</f>
        <v>0</v>
      </c>
    </row>
    <row r="23" spans="1:22" ht="15" customHeight="1" x14ac:dyDescent="0.2">
      <c r="A23" s="96">
        <v>2</v>
      </c>
      <c r="B23" s="107"/>
      <c r="C23" s="108" t="s">
        <v>233</v>
      </c>
      <c r="D23" s="108"/>
      <c r="E23" s="108" t="s">
        <v>235</v>
      </c>
      <c r="F23" s="108" t="s">
        <v>285</v>
      </c>
      <c r="G23" s="109">
        <v>7.76</v>
      </c>
      <c r="H23" s="109"/>
      <c r="I23" s="109"/>
      <c r="J23" s="96" t="s">
        <v>237</v>
      </c>
      <c r="K23" s="96" t="s">
        <v>146</v>
      </c>
      <c r="L23" s="43">
        <f>VLOOKUP(K23,Reinigungstage!A10:H31,8,FALSE)</f>
        <v>15</v>
      </c>
      <c r="M23" s="43">
        <f t="shared" si="0"/>
        <v>116.4</v>
      </c>
      <c r="N23" s="110">
        <f t="shared" si="1"/>
        <v>0</v>
      </c>
      <c r="O23" s="43">
        <f ca="1">IF('SVS UnterhaltsRG'!H61="",0,'SVS UnterhaltsRG'!H61)</f>
        <v>0</v>
      </c>
      <c r="P23" s="43">
        <f t="shared" si="2"/>
        <v>0</v>
      </c>
      <c r="Q23" s="43">
        <f t="shared" ca="1" si="3"/>
        <v>0</v>
      </c>
      <c r="R23" s="43">
        <f t="shared" si="4"/>
        <v>0</v>
      </c>
      <c r="S23" s="43">
        <f t="shared" ca="1" si="5"/>
        <v>0</v>
      </c>
      <c r="T23" s="3" t="str">
        <f t="shared" si="6"/>
        <v>Leistungswert eintragen</v>
      </c>
      <c r="U23" s="3">
        <f t="shared" si="7"/>
        <v>195</v>
      </c>
      <c r="V23" s="3">
        <f t="shared" si="8"/>
        <v>0</v>
      </c>
    </row>
    <row r="24" spans="1:22" ht="15" customHeight="1" x14ac:dyDescent="0.2">
      <c r="A24" s="96">
        <v>3</v>
      </c>
      <c r="B24" s="107"/>
      <c r="C24" s="108" t="s">
        <v>233</v>
      </c>
      <c r="D24" s="108"/>
      <c r="E24" s="108" t="s">
        <v>286</v>
      </c>
      <c r="F24" s="108" t="s">
        <v>220</v>
      </c>
      <c r="G24" s="109">
        <v>17.559999999999999</v>
      </c>
      <c r="H24" s="109"/>
      <c r="I24" s="109"/>
      <c r="J24" s="96" t="s">
        <v>273</v>
      </c>
      <c r="K24" s="96" t="s">
        <v>146</v>
      </c>
      <c r="L24" s="43">
        <f>VLOOKUP(K24,Reinigungstage!A10:H31,8,FALSE)</f>
        <v>15</v>
      </c>
      <c r="M24" s="43">
        <f t="shared" si="0"/>
        <v>263.39999999999998</v>
      </c>
      <c r="N24" s="110">
        <f t="shared" si="1"/>
        <v>0</v>
      </c>
      <c r="O24" s="43">
        <f ca="1">IF('SVS UnterhaltsRG'!H61="",0,'SVS UnterhaltsRG'!H61)</f>
        <v>0</v>
      </c>
      <c r="P24" s="43">
        <f t="shared" si="2"/>
        <v>0</v>
      </c>
      <c r="Q24" s="43">
        <f t="shared" ca="1" si="3"/>
        <v>0</v>
      </c>
      <c r="R24" s="43">
        <f t="shared" si="4"/>
        <v>0</v>
      </c>
      <c r="S24" s="43">
        <f t="shared" ca="1" si="5"/>
        <v>0</v>
      </c>
      <c r="T24" s="3" t="str">
        <f t="shared" si="6"/>
        <v>Leistungswert eintragen</v>
      </c>
      <c r="U24" s="3">
        <f t="shared" si="7"/>
        <v>220</v>
      </c>
      <c r="V24" s="3">
        <f t="shared" si="8"/>
        <v>0</v>
      </c>
    </row>
    <row r="25" spans="1:22" ht="15" customHeight="1" x14ac:dyDescent="0.2">
      <c r="A25" s="96">
        <v>4</v>
      </c>
      <c r="B25" s="107"/>
      <c r="C25" s="108" t="s">
        <v>233</v>
      </c>
      <c r="D25" s="108"/>
      <c r="E25" s="108" t="s">
        <v>273</v>
      </c>
      <c r="F25" s="108" t="s">
        <v>220</v>
      </c>
      <c r="G25" s="109">
        <v>17.350000000000001</v>
      </c>
      <c r="H25" s="109"/>
      <c r="I25" s="109"/>
      <c r="J25" s="96" t="s">
        <v>273</v>
      </c>
      <c r="K25" s="96" t="s">
        <v>146</v>
      </c>
      <c r="L25" s="43">
        <f>VLOOKUP(K25,Reinigungstage!A10:H31,8,FALSE)</f>
        <v>15</v>
      </c>
      <c r="M25" s="43">
        <f t="shared" si="0"/>
        <v>260.25</v>
      </c>
      <c r="N25" s="110">
        <f t="shared" si="1"/>
        <v>0</v>
      </c>
      <c r="O25" s="43">
        <f ca="1">IF('SVS UnterhaltsRG'!H61="",0,'SVS UnterhaltsRG'!H61)</f>
        <v>0</v>
      </c>
      <c r="P25" s="43">
        <f t="shared" si="2"/>
        <v>0</v>
      </c>
      <c r="Q25" s="43">
        <f t="shared" ca="1" si="3"/>
        <v>0</v>
      </c>
      <c r="R25" s="43">
        <f t="shared" si="4"/>
        <v>0</v>
      </c>
      <c r="S25" s="43">
        <f t="shared" ca="1" si="5"/>
        <v>0</v>
      </c>
      <c r="T25" s="3" t="str">
        <f t="shared" si="6"/>
        <v>Leistungswert eintragen</v>
      </c>
      <c r="U25" s="3">
        <f t="shared" si="7"/>
        <v>220</v>
      </c>
      <c r="V25" s="3">
        <f t="shared" si="8"/>
        <v>0</v>
      </c>
    </row>
    <row r="26" spans="1:22" ht="15" customHeight="1" x14ac:dyDescent="0.2">
      <c r="A26" s="96">
        <v>5</v>
      </c>
      <c r="B26" s="107"/>
      <c r="C26" s="108" t="s">
        <v>233</v>
      </c>
      <c r="D26" s="108"/>
      <c r="E26" s="108" t="s">
        <v>273</v>
      </c>
      <c r="F26" s="108" t="s">
        <v>218</v>
      </c>
      <c r="G26" s="109">
        <v>15.18</v>
      </c>
      <c r="H26" s="109"/>
      <c r="I26" s="109"/>
      <c r="J26" s="96" t="s">
        <v>273</v>
      </c>
      <c r="K26" s="96" t="s">
        <v>146</v>
      </c>
      <c r="L26" s="43">
        <f>VLOOKUP(K26,Reinigungstage!A10:H31,8,FALSE)</f>
        <v>15</v>
      </c>
      <c r="M26" s="43">
        <f t="shared" si="0"/>
        <v>227.7</v>
      </c>
      <c r="N26" s="110">
        <f t="shared" si="1"/>
        <v>0</v>
      </c>
      <c r="O26" s="43">
        <f ca="1">IF('SVS UnterhaltsRG'!H61="",0,'SVS UnterhaltsRG'!H61)</f>
        <v>0</v>
      </c>
      <c r="P26" s="43">
        <f t="shared" si="2"/>
        <v>0</v>
      </c>
      <c r="Q26" s="43">
        <f t="shared" ca="1" si="3"/>
        <v>0</v>
      </c>
      <c r="R26" s="43">
        <f t="shared" si="4"/>
        <v>0</v>
      </c>
      <c r="S26" s="43">
        <f t="shared" ca="1" si="5"/>
        <v>0</v>
      </c>
      <c r="T26" s="3" t="str">
        <f t="shared" si="6"/>
        <v>Leistungswert eintragen</v>
      </c>
      <c r="U26" s="3">
        <f t="shared" si="7"/>
        <v>220</v>
      </c>
      <c r="V26" s="3">
        <f t="shared" si="8"/>
        <v>0</v>
      </c>
    </row>
    <row r="27" spans="1:22" ht="15" customHeight="1" x14ac:dyDescent="0.2">
      <c r="A27" s="96">
        <v>6</v>
      </c>
      <c r="B27" s="107"/>
      <c r="C27" s="108" t="s">
        <v>233</v>
      </c>
      <c r="D27" s="108"/>
      <c r="E27" s="108" t="s">
        <v>274</v>
      </c>
      <c r="F27" s="108" t="s">
        <v>284</v>
      </c>
      <c r="G27" s="109">
        <v>15.01</v>
      </c>
      <c r="H27" s="109"/>
      <c r="I27" s="109"/>
      <c r="J27" s="96" t="s">
        <v>259</v>
      </c>
      <c r="K27" s="96" t="s">
        <v>146</v>
      </c>
      <c r="L27" s="43">
        <f>VLOOKUP(K27,Reinigungstage!A10:H31,8,FALSE)</f>
        <v>15</v>
      </c>
      <c r="M27" s="43">
        <f t="shared" si="0"/>
        <v>225.15</v>
      </c>
      <c r="N27" s="110">
        <f t="shared" si="1"/>
        <v>0</v>
      </c>
      <c r="O27" s="43">
        <f ca="1">IF('SVS UnterhaltsRG'!H61="",0,'SVS UnterhaltsRG'!H61)</f>
        <v>0</v>
      </c>
      <c r="P27" s="43">
        <f t="shared" si="2"/>
        <v>0</v>
      </c>
      <c r="Q27" s="43">
        <f t="shared" ca="1" si="3"/>
        <v>0</v>
      </c>
      <c r="R27" s="43">
        <f t="shared" si="4"/>
        <v>0</v>
      </c>
      <c r="S27" s="43">
        <f t="shared" ca="1" si="5"/>
        <v>0</v>
      </c>
      <c r="T27" s="3" t="str">
        <f t="shared" si="6"/>
        <v>Leistungswert eintragen</v>
      </c>
      <c r="U27" s="3">
        <f t="shared" si="7"/>
        <v>75</v>
      </c>
      <c r="V27" s="3">
        <f t="shared" si="8"/>
        <v>0</v>
      </c>
    </row>
    <row r="28" spans="1:22" ht="15" customHeight="1" x14ac:dyDescent="0.2">
      <c r="A28" s="96">
        <v>7</v>
      </c>
      <c r="B28" s="107"/>
      <c r="C28" s="108" t="s">
        <v>233</v>
      </c>
      <c r="D28" s="108"/>
      <c r="E28" s="108" t="s">
        <v>274</v>
      </c>
      <c r="F28" s="108" t="s">
        <v>284</v>
      </c>
      <c r="G28" s="109">
        <v>15.6</v>
      </c>
      <c r="H28" s="109"/>
      <c r="I28" s="109"/>
      <c r="J28" s="96" t="s">
        <v>259</v>
      </c>
      <c r="K28" s="96" t="s">
        <v>146</v>
      </c>
      <c r="L28" s="43">
        <f>VLOOKUP(K28,Reinigungstage!A10:H31,8,FALSE)</f>
        <v>15</v>
      </c>
      <c r="M28" s="43">
        <f t="shared" si="0"/>
        <v>234</v>
      </c>
      <c r="N28" s="110">
        <f t="shared" si="1"/>
        <v>0</v>
      </c>
      <c r="O28" s="43">
        <f ca="1">IF('SVS UnterhaltsRG'!H61="",0,'SVS UnterhaltsRG'!H61)</f>
        <v>0</v>
      </c>
      <c r="P28" s="43">
        <f t="shared" si="2"/>
        <v>0</v>
      </c>
      <c r="Q28" s="43">
        <f t="shared" ca="1" si="3"/>
        <v>0</v>
      </c>
      <c r="R28" s="43">
        <f t="shared" si="4"/>
        <v>0</v>
      </c>
      <c r="S28" s="43">
        <f t="shared" ca="1" si="5"/>
        <v>0</v>
      </c>
      <c r="T28" s="3" t="str">
        <f t="shared" si="6"/>
        <v>Leistungswert eintragen</v>
      </c>
      <c r="U28" s="3">
        <f t="shared" si="7"/>
        <v>75</v>
      </c>
      <c r="V28" s="3">
        <f t="shared" si="8"/>
        <v>0</v>
      </c>
    </row>
    <row r="29" spans="1:22" ht="15" customHeight="1" x14ac:dyDescent="0.2">
      <c r="A29" s="96">
        <v>8</v>
      </c>
      <c r="B29" s="107"/>
      <c r="C29" s="108" t="s">
        <v>233</v>
      </c>
      <c r="D29" s="108"/>
      <c r="E29" s="108" t="s">
        <v>271</v>
      </c>
      <c r="F29" s="108" t="s">
        <v>220</v>
      </c>
      <c r="G29" s="109">
        <v>8.82</v>
      </c>
      <c r="H29" s="109"/>
      <c r="I29" s="109"/>
      <c r="J29" s="96" t="s">
        <v>259</v>
      </c>
      <c r="K29" s="96" t="s">
        <v>146</v>
      </c>
      <c r="L29" s="43">
        <f>VLOOKUP(K29,Reinigungstage!A10:H31,8,FALSE)</f>
        <v>15</v>
      </c>
      <c r="M29" s="43">
        <f t="shared" si="0"/>
        <v>132.30000000000001</v>
      </c>
      <c r="N29" s="110">
        <f t="shared" si="1"/>
        <v>0</v>
      </c>
      <c r="O29" s="43">
        <f ca="1">IF('SVS UnterhaltsRG'!H61="",0,'SVS UnterhaltsRG'!H61)</f>
        <v>0</v>
      </c>
      <c r="P29" s="43">
        <f t="shared" si="2"/>
        <v>0</v>
      </c>
      <c r="Q29" s="43">
        <f t="shared" ca="1" si="3"/>
        <v>0</v>
      </c>
      <c r="R29" s="43">
        <f t="shared" si="4"/>
        <v>0</v>
      </c>
      <c r="S29" s="43">
        <f t="shared" ca="1" si="5"/>
        <v>0</v>
      </c>
      <c r="T29" s="3" t="str">
        <f t="shared" si="6"/>
        <v>Leistungswert eintragen</v>
      </c>
      <c r="U29" s="3">
        <f t="shared" si="7"/>
        <v>75</v>
      </c>
      <c r="V29" s="3">
        <f t="shared" si="8"/>
        <v>0</v>
      </c>
    </row>
    <row r="30" spans="1:22" ht="15" customHeight="1" x14ac:dyDescent="0.2">
      <c r="A30" s="96">
        <v>9</v>
      </c>
      <c r="B30" s="107"/>
      <c r="C30" s="108" t="s">
        <v>233</v>
      </c>
      <c r="D30" s="108"/>
      <c r="E30" s="108" t="s">
        <v>270</v>
      </c>
      <c r="F30" s="108" t="s">
        <v>220</v>
      </c>
      <c r="G30" s="109">
        <v>8.8699999999999992</v>
      </c>
      <c r="H30" s="109"/>
      <c r="I30" s="109"/>
      <c r="J30" s="96" t="s">
        <v>259</v>
      </c>
      <c r="K30" s="96" t="s">
        <v>146</v>
      </c>
      <c r="L30" s="43">
        <f>VLOOKUP(K30,Reinigungstage!A10:H31,8,FALSE)</f>
        <v>15</v>
      </c>
      <c r="M30" s="43">
        <f t="shared" si="0"/>
        <v>133.05000000000001</v>
      </c>
      <c r="N30" s="110">
        <f t="shared" si="1"/>
        <v>0</v>
      </c>
      <c r="O30" s="43">
        <f ca="1">IF('SVS UnterhaltsRG'!H61="",0,'SVS UnterhaltsRG'!H61)</f>
        <v>0</v>
      </c>
      <c r="P30" s="43">
        <f t="shared" si="2"/>
        <v>0</v>
      </c>
      <c r="Q30" s="43">
        <f t="shared" ca="1" si="3"/>
        <v>0</v>
      </c>
      <c r="R30" s="43">
        <f t="shared" si="4"/>
        <v>0</v>
      </c>
      <c r="S30" s="43">
        <f t="shared" ca="1" si="5"/>
        <v>0</v>
      </c>
      <c r="T30" s="3" t="str">
        <f t="shared" si="6"/>
        <v>Leistungswert eintragen</v>
      </c>
      <c r="U30" s="3">
        <f t="shared" si="7"/>
        <v>75</v>
      </c>
      <c r="V30" s="3">
        <f t="shared" si="8"/>
        <v>0</v>
      </c>
    </row>
    <row r="31" spans="1:22" ht="15" customHeight="1" x14ac:dyDescent="0.2">
      <c r="A31" s="96">
        <v>10</v>
      </c>
      <c r="B31" s="107"/>
      <c r="C31" s="108" t="s">
        <v>233</v>
      </c>
      <c r="D31" s="108"/>
      <c r="E31" s="108" t="s">
        <v>287</v>
      </c>
      <c r="F31" s="108" t="s">
        <v>220</v>
      </c>
      <c r="G31" s="109">
        <v>43.01</v>
      </c>
      <c r="H31" s="109"/>
      <c r="I31" s="109"/>
      <c r="J31" s="96" t="s">
        <v>261</v>
      </c>
      <c r="K31" s="96" t="s">
        <v>146</v>
      </c>
      <c r="L31" s="43">
        <f>VLOOKUP(K31,Reinigungstage!A10:H31,8,FALSE)</f>
        <v>15</v>
      </c>
      <c r="M31" s="43">
        <f t="shared" si="0"/>
        <v>645.15</v>
      </c>
      <c r="N31" s="110">
        <f t="shared" si="1"/>
        <v>0</v>
      </c>
      <c r="O31" s="43">
        <f ca="1">IF('SVS UnterhaltsRG'!H61="",0,'SVS UnterhaltsRG'!H61)</f>
        <v>0</v>
      </c>
      <c r="P31" s="43">
        <f t="shared" si="2"/>
        <v>0</v>
      </c>
      <c r="Q31" s="43">
        <f t="shared" ca="1" si="3"/>
        <v>0</v>
      </c>
      <c r="R31" s="43">
        <f t="shared" si="4"/>
        <v>0</v>
      </c>
      <c r="S31" s="43">
        <f t="shared" ca="1" si="5"/>
        <v>0</v>
      </c>
      <c r="T31" s="3" t="str">
        <f t="shared" si="6"/>
        <v>Leistungswert eintragen</v>
      </c>
      <c r="U31" s="3">
        <f t="shared" si="7"/>
        <v>215</v>
      </c>
      <c r="V31" s="3">
        <f t="shared" si="8"/>
        <v>0</v>
      </c>
    </row>
  </sheetData>
  <sheetProtection algorithmName="SHA-512" hashValue="1fXlefT9PsZ7bjshg+4PumyeyVNP+hcKzJtwK83tJ2Joxm9H0PKe+6gsz77YM0ceB0GXd28p1Ma8DHRhJ+KLrw==" saltValue="6i2HnMxFuRtuohZg9i1EEQ==" spinCount="100000" sheet="1" objects="1" scenarios="1"/>
  <sortState xmlns:xlrd2="http://schemas.microsoft.com/office/spreadsheetml/2017/richdata2" ref="U4:U8">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3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9" priority="5" operator="containsText" text="Bitte prüfen Sie diese.">
      <formula>NOT(ISERROR(SEARCH("Bitte prüfen Sie diese.",L9)))</formula>
    </cfRule>
  </conditionalFormatting>
  <conditionalFormatting sqref="L10">
    <cfRule type="containsText" dxfId="2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7" priority="3" operator="containsText" text="lediglich Fehleingaben vermeiden wollen.">
      <formula>NOT(ISERROR(SEARCH("lediglich Fehleingaben vermeiden wollen.",L11)))</formula>
    </cfRule>
  </conditionalFormatting>
  <conditionalFormatting sqref="M11">
    <cfRule type="containsText" dxfId="2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5" priority="7" operator="containsText" text="für die Objektart prüfen.">
      <formula>NOT(ISERROR(SEARCH("für die Objektart prüfen.",M12)))</formula>
    </cfRule>
  </conditionalFormatting>
  <conditionalFormatting sqref="N13">
    <cfRule type="expression" dxfId="24" priority="2" stopIfTrue="1">
      <formula>N13=0</formula>
    </cfRule>
  </conditionalFormatting>
  <conditionalFormatting sqref="N14">
    <cfRule type="expression" dxfId="23" priority="1">
      <formula>N14=0</formula>
    </cfRule>
  </conditionalFormatting>
  <conditionalFormatting sqref="N22:N31">
    <cfRule type="expression" dxfId="22" priority="11">
      <formula>V22=0</formula>
    </cfRule>
    <cfRule type="expression" dxfId="21" priority="12" stopIfTrue="1">
      <formula>V22=1</formula>
    </cfRule>
  </conditionalFormatting>
  <conditionalFormatting sqref="O13">
    <cfRule type="containsText" dxfId="2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9" priority="9" operator="containsText" text="Wert(e) prüfen.">
      <formula>NOT(ISERROR(SEARCH("Wert(e) prüfen.",O14)))</formula>
    </cfRule>
  </conditionalFormatting>
  <conditionalFormatting sqref="T22:T31">
    <cfRule type="containsText" dxfId="18" priority="13" stopIfTrue="1" operator="containsText" text="SVS prüfen">
      <formula>NOT(ISERROR(SEARCH("SVS prüfen",T22)))</formula>
    </cfRule>
    <cfRule type="containsText" dxfId="17" priority="14" stopIfTrue="1" operator="containsText" text="Leistungswert eintragen">
      <formula>NOT(ISERROR(SEARCH("Leistungswert eintragen",T22)))</formula>
    </cfRule>
  </conditionalFormatting>
  <hyperlinks>
    <hyperlink ref="M1" location="Inhaltsverzeichnis!A1" display="Zurück zum Inhaltsverzeichnis" xr:uid="{3FDD8F40-24A6-4BF4-A550-027D0200C453}"/>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Unter Bed Sportplatz</oddFooter>
  </headerFooter>
  <rowBreaks count="1" manualBreakCount="1">
    <brk id="31"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0593"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10594"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10595"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10596"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13C86-E355-4CA6-B7F8-C0F3B39A8AF6}">
  <sheetPr codeName="Tabelle39">
    <tabColor indexed="40"/>
  </sheetPr>
  <dimension ref="A1:X31"/>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7" t="s">
        <v>151</v>
      </c>
      <c r="B2" s="158"/>
      <c r="C2" s="158"/>
      <c r="D2" s="158"/>
      <c r="E2" s="159"/>
      <c r="G2" s="160" t="s">
        <v>164</v>
      </c>
      <c r="H2" s="160" t="s">
        <v>156</v>
      </c>
      <c r="I2" s="160" t="s">
        <v>157</v>
      </c>
      <c r="J2" s="160" t="s">
        <v>176</v>
      </c>
      <c r="M2" s="92"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4" customHeight="1" x14ac:dyDescent="0.2">
      <c r="A3" s="93" t="s">
        <v>214</v>
      </c>
      <c r="B3" s="94"/>
      <c r="C3" s="94"/>
      <c r="D3" s="94"/>
      <c r="E3" s="95"/>
      <c r="G3" s="161"/>
      <c r="H3" s="161"/>
      <c r="I3" s="161"/>
      <c r="J3" s="161"/>
      <c r="M3" s="92" t="b">
        <v>0</v>
      </c>
      <c r="N3" s="132"/>
      <c r="O3" s="132"/>
      <c r="P3" s="132"/>
      <c r="Q3" s="132"/>
    </row>
    <row r="4" spans="1:22" ht="18.600000000000001" customHeight="1" x14ac:dyDescent="0.2">
      <c r="A4" s="155" t="s">
        <v>91</v>
      </c>
      <c r="B4" s="165" t="str">
        <f>IF(Inhaltsverzeichnis!C3="","",Inhaltsverzeichnis!C3)</f>
        <v/>
      </c>
      <c r="C4" s="166"/>
      <c r="D4" s="166"/>
      <c r="E4" s="167"/>
      <c r="G4" s="96" t="s">
        <v>237</v>
      </c>
      <c r="H4" s="97"/>
      <c r="I4" s="98">
        <f ca="1">SUMIF('Kal Grund Bed Sportplatz'!J22:M31,$G$4,'Kal Grund Bed Sportplatz'!M22:M31)</f>
        <v>7.76</v>
      </c>
      <c r="J4" s="69">
        <f>COUNTIFS('Kal Grund Bed Sportplatz'!J22:M31,$G$4)</f>
        <v>1</v>
      </c>
      <c r="M4" s="92" t="b">
        <v>0</v>
      </c>
      <c r="N4" s="132"/>
      <c r="O4" s="132"/>
      <c r="P4" s="132"/>
      <c r="Q4" s="132"/>
      <c r="U4" s="96" t="s">
        <v>237</v>
      </c>
      <c r="V4" s="3">
        <v>13</v>
      </c>
    </row>
    <row r="5" spans="1:22" ht="15" customHeight="1" x14ac:dyDescent="0.2">
      <c r="A5" s="156"/>
      <c r="B5" s="168"/>
      <c r="C5" s="169"/>
      <c r="D5" s="169"/>
      <c r="E5" s="170"/>
      <c r="G5" s="96" t="s">
        <v>261</v>
      </c>
      <c r="H5" s="97"/>
      <c r="I5" s="98">
        <f ca="1">SUMIF('Kal Grund Bed Sportplatz'!J22:M31,$G$5,'Kal Grund Bed Sportplatz'!M22:M31)</f>
        <v>43.01</v>
      </c>
      <c r="J5" s="69">
        <f>COUNTIFS('Kal Grund Bed Sportplatz'!J22:M31,$G$5)</f>
        <v>1</v>
      </c>
      <c r="M5" s="92" t="b">
        <v>0</v>
      </c>
      <c r="N5" s="132"/>
      <c r="O5" s="132"/>
      <c r="P5" s="132"/>
      <c r="Q5" s="132"/>
      <c r="U5" s="96" t="s">
        <v>261</v>
      </c>
      <c r="V5" s="3">
        <v>15</v>
      </c>
    </row>
    <row r="6" spans="1:22" ht="15" customHeight="1" x14ac:dyDescent="0.2">
      <c r="A6" s="99" t="s">
        <v>174</v>
      </c>
      <c r="B6" s="171" t="s">
        <v>201</v>
      </c>
      <c r="C6" s="172"/>
      <c r="D6" s="172"/>
      <c r="E6" s="173"/>
      <c r="G6" s="96" t="s">
        <v>259</v>
      </c>
      <c r="H6" s="97"/>
      <c r="I6" s="98">
        <f ca="1">SUMIF('Kal Grund Bed Sportplatz'!J22:M31,$G$6,'Kal Grund Bed Sportplatz'!M22:M31)</f>
        <v>48.3</v>
      </c>
      <c r="J6" s="69">
        <f>COUNTIFS('Kal Grund Bed Sportplatz'!J22:M31,$G$6)</f>
        <v>4</v>
      </c>
      <c r="U6" s="96" t="s">
        <v>259</v>
      </c>
      <c r="V6" s="3">
        <v>7</v>
      </c>
    </row>
    <row r="7" spans="1:22" ht="15" customHeight="1" x14ac:dyDescent="0.2">
      <c r="A7" s="100" t="s">
        <v>172</v>
      </c>
      <c r="B7" s="174" t="s">
        <v>211</v>
      </c>
      <c r="C7" s="172"/>
      <c r="D7" s="172"/>
      <c r="E7" s="173"/>
      <c r="G7" s="96" t="s">
        <v>273</v>
      </c>
      <c r="H7" s="97"/>
      <c r="I7" s="98">
        <f ca="1">SUMIF('Kal Grund Bed Sportplatz'!J22:M31,$G$7,'Kal Grund Bed Sportplatz'!M22:M31)</f>
        <v>50.089999999999996</v>
      </c>
      <c r="J7" s="69">
        <f>COUNTIFS('Kal Grund Bed Sportplatz'!J22:M31,$G$7)</f>
        <v>3</v>
      </c>
      <c r="U7" s="96" t="s">
        <v>273</v>
      </c>
      <c r="V7" s="3">
        <v>16.5</v>
      </c>
    </row>
    <row r="8" spans="1:22" ht="15" customHeight="1" x14ac:dyDescent="0.2">
      <c r="A8" s="100" t="s">
        <v>173</v>
      </c>
      <c r="B8" s="171" t="s">
        <v>212</v>
      </c>
      <c r="C8" s="172"/>
      <c r="D8" s="172"/>
      <c r="E8" s="173"/>
      <c r="G8" s="96" t="s">
        <v>260</v>
      </c>
      <c r="H8" s="97"/>
      <c r="I8" s="98">
        <f ca="1">SUMIF('Kal Grund Bed Sportplatz'!J22:M31,$G$8,'Kal Grund Bed Sportplatz'!M22:M31)</f>
        <v>23.74</v>
      </c>
      <c r="J8" s="69">
        <f>COUNTIFS('Kal Grund Bed Sportplatz'!J22:M31,$G$8)</f>
        <v>1</v>
      </c>
      <c r="L8" s="111" t="str">
        <f>IF(N14&gt;0,"Ihre Eintragungen der Leistungswerte liegen weit über den Erfahrungswerten aus der Preisschätzung.","")</f>
        <v/>
      </c>
      <c r="U8" s="96" t="s">
        <v>260</v>
      </c>
      <c r="V8" s="3">
        <v>24</v>
      </c>
    </row>
    <row r="9" spans="1:22" ht="15" customHeight="1" x14ac:dyDescent="0.2">
      <c r="A9" s="99" t="s">
        <v>171</v>
      </c>
      <c r="B9" s="175" t="s">
        <v>210</v>
      </c>
      <c r="C9" s="172"/>
      <c r="D9" s="172"/>
      <c r="E9" s="173"/>
      <c r="L9" s="111" t="str">
        <f>IF(N14&gt;0,"Bitte prüfen Sie diese.","")</f>
        <v/>
      </c>
    </row>
    <row r="10" spans="1:22" ht="15" customHeight="1" x14ac:dyDescent="0.2">
      <c r="A10" s="100" t="s">
        <v>153</v>
      </c>
      <c r="B10" s="171" t="s">
        <v>213</v>
      </c>
      <c r="C10" s="172"/>
      <c r="D10" s="172"/>
      <c r="E10" s="173"/>
      <c r="L10" s="111" t="str">
        <f>IF(N14&gt;0,"Beachten Sie, dass Sie frei in der Kalkulation dieser Leistungswerte sind und wir durch den Hinweis","")</f>
        <v/>
      </c>
    </row>
    <row r="11" spans="1:22" ht="15" customHeight="1" x14ac:dyDescent="0.2">
      <c r="A11" s="100" t="s">
        <v>154</v>
      </c>
      <c r="B11" s="176" t="s">
        <v>205</v>
      </c>
      <c r="C11" s="172"/>
      <c r="D11" s="172"/>
      <c r="E11" s="173"/>
      <c r="L11" s="111" t="str">
        <f>IF(N14&gt;0,"lediglich Fehleingaben vermeiden wollen.","")</f>
        <v/>
      </c>
    </row>
    <row r="12" spans="1:22" ht="15" customHeight="1" x14ac:dyDescent="0.2">
      <c r="A12" s="100" t="s">
        <v>155</v>
      </c>
      <c r="B12" s="171" t="s">
        <v>206</v>
      </c>
      <c r="C12" s="172"/>
      <c r="D12" s="172"/>
      <c r="E12" s="173"/>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row>
    <row r="14" spans="1:22" ht="15" customHeight="1" x14ac:dyDescent="0.2">
      <c r="N14" s="101">
        <f>COUNTIF(X22:X$31,1)</f>
        <v>0</v>
      </c>
      <c r="O14" s="3" t="str">
        <f>IF(N14&gt;0,"Wert(e) prüfen.","")</f>
        <v/>
      </c>
      <c r="S14" s="103">
        <f>IF(COUNTA($S$22:$S$31)-COUNTBLANK($S$22:$S$31)=0,"",COUNTA($S$22:$S$31)-COUNTBLANK($S$22:$S$31))</f>
        <v>10</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134</v>
      </c>
    </row>
    <row r="21" spans="1:24" ht="29.1" customHeight="1" x14ac:dyDescent="0.2">
      <c r="A21" s="104" t="s">
        <v>119</v>
      </c>
      <c r="B21" s="12"/>
      <c r="C21" s="12"/>
      <c r="D21" s="12"/>
      <c r="E21" s="12"/>
      <c r="F21" s="12"/>
      <c r="G21" s="105">
        <f>SUM($G$22:$G$31)</f>
        <v>172.9</v>
      </c>
      <c r="H21" s="105">
        <f>SUM($H$22:$H$31)</f>
        <v>0</v>
      </c>
      <c r="I21" s="105">
        <f>SUM($I$22:$I$31)</f>
        <v>0</v>
      </c>
      <c r="J21" s="43"/>
      <c r="K21" s="43"/>
      <c r="L21" s="106">
        <f>MAX(L22:L31)</f>
        <v>1</v>
      </c>
      <c r="M21" s="105">
        <f>SUM($M$22:$M$31)</f>
        <v>172.9</v>
      </c>
      <c r="N21" s="43"/>
      <c r="O21" s="43"/>
      <c r="P21" s="105">
        <f>SUM($P$22:$P$31)</f>
        <v>0</v>
      </c>
      <c r="Q21" s="105">
        <f>SUM($Q$22:$Q$31)</f>
        <v>0</v>
      </c>
      <c r="R21" s="105">
        <f>ROUND(IF(Q21=0,0,Q21/L21),2)</f>
        <v>0</v>
      </c>
    </row>
    <row r="22" spans="1:24" ht="15" customHeight="1" x14ac:dyDescent="0.2">
      <c r="A22" s="96">
        <v>1</v>
      </c>
      <c r="B22" s="107"/>
      <c r="C22" s="108" t="s">
        <v>233</v>
      </c>
      <c r="D22" s="108"/>
      <c r="E22" s="108" t="s">
        <v>222</v>
      </c>
      <c r="F22" s="108" t="s">
        <v>284</v>
      </c>
      <c r="G22" s="109">
        <v>23.74</v>
      </c>
      <c r="H22" s="109"/>
      <c r="I22" s="109"/>
      <c r="J22" s="96" t="s">
        <v>260</v>
      </c>
      <c r="K22" s="96" t="s">
        <v>146</v>
      </c>
      <c r="L22" s="43">
        <f>VLOOKUP(K22,Reinigungstage!A10:J31,10,FALSE)</f>
        <v>1</v>
      </c>
      <c r="M22" s="43">
        <f t="shared" ref="M22:M31" si="0">ROUND(IF(L22=0,0,L22*G22),2)</f>
        <v>23.74</v>
      </c>
      <c r="N22" s="110">
        <f t="shared" ref="N22:N31" si="1">VLOOKUP(J22,$G$4:$H$8,2,FALSE)</f>
        <v>0</v>
      </c>
      <c r="O22" s="43">
        <f ca="1">IF('SVS GrundRG'!H61="",0,'SVS GrundRG'!H61)</f>
        <v>0</v>
      </c>
      <c r="P22" s="43">
        <f t="shared" ref="P22:P31" si="2">ROUND(IF(N22=0,0,M22/N22),2)</f>
        <v>0</v>
      </c>
      <c r="Q22" s="43">
        <f t="shared" ref="Q22:Q31" si="3">ROUND(IF(P22=0,0,P22*O22),2)</f>
        <v>0</v>
      </c>
      <c r="R22" s="43">
        <f t="shared" ref="R22:R31" si="4">ROUND(IF(P22=0,0,Q22/L22),2)</f>
        <v>0</v>
      </c>
      <c r="S22" s="3" t="str">
        <f t="shared" ref="S22:S31" si="5">IF(M22=0,"",IF(N22=0,"Leistungswert eintragen",IF(O22=0,"SVS prüfen","")))</f>
        <v>Leistungswert eintragen</v>
      </c>
      <c r="U22" s="3">
        <f t="shared" ref="U22:U31" si="6">VLOOKUP(J22,$U$4:$V$8,2,FALSE)</f>
        <v>24</v>
      </c>
      <c r="V22" s="3">
        <f t="shared" ref="V22:V31" si="7">U22*30%</f>
        <v>7.1999999999999993</v>
      </c>
      <c r="W22" s="3">
        <f t="shared" ref="W22:W31" si="8">SUM(U22:V22)</f>
        <v>31.2</v>
      </c>
      <c r="X22" s="3" t="str">
        <f t="shared" ref="X22:X31" si="9">IF(N22=0,"",IF(W22&lt;N22,1,IF(W22&gt;=N22,0,"")))</f>
        <v/>
      </c>
    </row>
    <row r="23" spans="1:24" ht="15" customHeight="1" x14ac:dyDescent="0.2">
      <c r="A23" s="96">
        <v>2</v>
      </c>
      <c r="B23" s="107"/>
      <c r="C23" s="108" t="s">
        <v>233</v>
      </c>
      <c r="D23" s="108"/>
      <c r="E23" s="108" t="s">
        <v>235</v>
      </c>
      <c r="F23" s="108" t="s">
        <v>285</v>
      </c>
      <c r="G23" s="109">
        <v>7.76</v>
      </c>
      <c r="H23" s="109"/>
      <c r="I23" s="109"/>
      <c r="J23" s="96" t="s">
        <v>237</v>
      </c>
      <c r="K23" s="96" t="s">
        <v>146</v>
      </c>
      <c r="L23" s="43">
        <f>VLOOKUP(K23,Reinigungstage!A10:J31,10,FALSE)</f>
        <v>1</v>
      </c>
      <c r="M23" s="43">
        <f t="shared" si="0"/>
        <v>7.76</v>
      </c>
      <c r="N23" s="110">
        <f t="shared" si="1"/>
        <v>0</v>
      </c>
      <c r="O23" s="43">
        <f ca="1">IF('SVS GrundRG'!H61="",0,'SVS GrundRG'!H61)</f>
        <v>0</v>
      </c>
      <c r="P23" s="43">
        <f t="shared" si="2"/>
        <v>0</v>
      </c>
      <c r="Q23" s="43">
        <f t="shared" si="3"/>
        <v>0</v>
      </c>
      <c r="R23" s="43">
        <f t="shared" si="4"/>
        <v>0</v>
      </c>
      <c r="S23" s="3" t="str">
        <f t="shared" si="5"/>
        <v>Leistungswert eintragen</v>
      </c>
      <c r="U23" s="3">
        <f t="shared" si="6"/>
        <v>13</v>
      </c>
      <c r="V23" s="3">
        <f t="shared" si="7"/>
        <v>3.9</v>
      </c>
      <c r="W23" s="3">
        <f t="shared" si="8"/>
        <v>16.899999999999999</v>
      </c>
      <c r="X23" s="3" t="str">
        <f t="shared" si="9"/>
        <v/>
      </c>
    </row>
    <row r="24" spans="1:24" ht="15" customHeight="1" x14ac:dyDescent="0.2">
      <c r="A24" s="96">
        <v>3</v>
      </c>
      <c r="B24" s="107"/>
      <c r="C24" s="108" t="s">
        <v>233</v>
      </c>
      <c r="D24" s="108"/>
      <c r="E24" s="108" t="s">
        <v>286</v>
      </c>
      <c r="F24" s="108" t="s">
        <v>220</v>
      </c>
      <c r="G24" s="109">
        <v>17.559999999999999</v>
      </c>
      <c r="H24" s="109"/>
      <c r="I24" s="109"/>
      <c r="J24" s="96" t="s">
        <v>273</v>
      </c>
      <c r="K24" s="96" t="s">
        <v>146</v>
      </c>
      <c r="L24" s="43">
        <f>VLOOKUP(K24,Reinigungstage!A10:J31,10,FALSE)</f>
        <v>1</v>
      </c>
      <c r="M24" s="43">
        <f t="shared" si="0"/>
        <v>17.559999999999999</v>
      </c>
      <c r="N24" s="110">
        <f t="shared" si="1"/>
        <v>0</v>
      </c>
      <c r="O24" s="43">
        <f ca="1">IF('SVS GrundRG'!H61="",0,'SVS GrundRG'!H61)</f>
        <v>0</v>
      </c>
      <c r="P24" s="43">
        <f t="shared" si="2"/>
        <v>0</v>
      </c>
      <c r="Q24" s="43">
        <f t="shared" si="3"/>
        <v>0</v>
      </c>
      <c r="R24" s="43">
        <f t="shared" si="4"/>
        <v>0</v>
      </c>
      <c r="S24" s="3" t="str">
        <f t="shared" si="5"/>
        <v>Leistungswert eintragen</v>
      </c>
      <c r="U24" s="3">
        <f t="shared" si="6"/>
        <v>16.5</v>
      </c>
      <c r="V24" s="3">
        <f t="shared" si="7"/>
        <v>4.95</v>
      </c>
      <c r="W24" s="3">
        <f t="shared" si="8"/>
        <v>21.45</v>
      </c>
      <c r="X24" s="3" t="str">
        <f t="shared" si="9"/>
        <v/>
      </c>
    </row>
    <row r="25" spans="1:24" ht="15" customHeight="1" x14ac:dyDescent="0.2">
      <c r="A25" s="96">
        <v>4</v>
      </c>
      <c r="B25" s="107"/>
      <c r="C25" s="108" t="s">
        <v>233</v>
      </c>
      <c r="D25" s="108"/>
      <c r="E25" s="108" t="s">
        <v>273</v>
      </c>
      <c r="F25" s="108" t="s">
        <v>220</v>
      </c>
      <c r="G25" s="109">
        <v>17.350000000000001</v>
      </c>
      <c r="H25" s="109"/>
      <c r="I25" s="109"/>
      <c r="J25" s="96" t="s">
        <v>273</v>
      </c>
      <c r="K25" s="96" t="s">
        <v>146</v>
      </c>
      <c r="L25" s="43">
        <f>VLOOKUP(K25,Reinigungstage!A10:J31,10,FALSE)</f>
        <v>1</v>
      </c>
      <c r="M25" s="43">
        <f t="shared" si="0"/>
        <v>17.350000000000001</v>
      </c>
      <c r="N25" s="110">
        <f t="shared" si="1"/>
        <v>0</v>
      </c>
      <c r="O25" s="43">
        <f ca="1">IF('SVS GrundRG'!H61="",0,'SVS GrundRG'!H61)</f>
        <v>0</v>
      </c>
      <c r="P25" s="43">
        <f t="shared" si="2"/>
        <v>0</v>
      </c>
      <c r="Q25" s="43">
        <f t="shared" si="3"/>
        <v>0</v>
      </c>
      <c r="R25" s="43">
        <f t="shared" si="4"/>
        <v>0</v>
      </c>
      <c r="S25" s="3" t="str">
        <f t="shared" si="5"/>
        <v>Leistungswert eintragen</v>
      </c>
      <c r="U25" s="3">
        <f t="shared" si="6"/>
        <v>16.5</v>
      </c>
      <c r="V25" s="3">
        <f t="shared" si="7"/>
        <v>4.95</v>
      </c>
      <c r="W25" s="3">
        <f t="shared" si="8"/>
        <v>21.45</v>
      </c>
      <c r="X25" s="3" t="str">
        <f t="shared" si="9"/>
        <v/>
      </c>
    </row>
    <row r="26" spans="1:24" ht="15" customHeight="1" x14ac:dyDescent="0.2">
      <c r="A26" s="96">
        <v>5</v>
      </c>
      <c r="B26" s="107"/>
      <c r="C26" s="108" t="s">
        <v>233</v>
      </c>
      <c r="D26" s="108"/>
      <c r="E26" s="108" t="s">
        <v>273</v>
      </c>
      <c r="F26" s="108" t="s">
        <v>218</v>
      </c>
      <c r="G26" s="109">
        <v>15.18</v>
      </c>
      <c r="H26" s="109"/>
      <c r="I26" s="109"/>
      <c r="J26" s="96" t="s">
        <v>273</v>
      </c>
      <c r="K26" s="96" t="s">
        <v>146</v>
      </c>
      <c r="L26" s="43">
        <f>VLOOKUP(K26,Reinigungstage!A10:J31,10,FALSE)</f>
        <v>1</v>
      </c>
      <c r="M26" s="43">
        <f t="shared" si="0"/>
        <v>15.18</v>
      </c>
      <c r="N26" s="110">
        <f t="shared" si="1"/>
        <v>0</v>
      </c>
      <c r="O26" s="43">
        <f ca="1">IF('SVS GrundRG'!H61="",0,'SVS GrundRG'!H61)</f>
        <v>0</v>
      </c>
      <c r="P26" s="43">
        <f t="shared" si="2"/>
        <v>0</v>
      </c>
      <c r="Q26" s="43">
        <f t="shared" si="3"/>
        <v>0</v>
      </c>
      <c r="R26" s="43">
        <f t="shared" si="4"/>
        <v>0</v>
      </c>
      <c r="S26" s="3" t="str">
        <f t="shared" si="5"/>
        <v>Leistungswert eintragen</v>
      </c>
      <c r="U26" s="3">
        <f t="shared" si="6"/>
        <v>16.5</v>
      </c>
      <c r="V26" s="3">
        <f t="shared" si="7"/>
        <v>4.95</v>
      </c>
      <c r="W26" s="3">
        <f t="shared" si="8"/>
        <v>21.45</v>
      </c>
      <c r="X26" s="3" t="str">
        <f t="shared" si="9"/>
        <v/>
      </c>
    </row>
    <row r="27" spans="1:24" ht="15" customHeight="1" x14ac:dyDescent="0.2">
      <c r="A27" s="96">
        <v>6</v>
      </c>
      <c r="B27" s="107"/>
      <c r="C27" s="108" t="s">
        <v>233</v>
      </c>
      <c r="D27" s="108"/>
      <c r="E27" s="108" t="s">
        <v>274</v>
      </c>
      <c r="F27" s="108" t="s">
        <v>284</v>
      </c>
      <c r="G27" s="109">
        <v>15.01</v>
      </c>
      <c r="H27" s="109"/>
      <c r="I27" s="109"/>
      <c r="J27" s="96" t="s">
        <v>259</v>
      </c>
      <c r="K27" s="96" t="s">
        <v>146</v>
      </c>
      <c r="L27" s="43">
        <f>VLOOKUP(K27,Reinigungstage!A10:J31,10,FALSE)</f>
        <v>1</v>
      </c>
      <c r="M27" s="43">
        <f t="shared" si="0"/>
        <v>15.01</v>
      </c>
      <c r="N27" s="110">
        <f t="shared" si="1"/>
        <v>0</v>
      </c>
      <c r="O27" s="43">
        <f ca="1">IF('SVS GrundRG'!H61="",0,'SVS GrundRG'!H61)</f>
        <v>0</v>
      </c>
      <c r="P27" s="43">
        <f t="shared" si="2"/>
        <v>0</v>
      </c>
      <c r="Q27" s="43">
        <f t="shared" si="3"/>
        <v>0</v>
      </c>
      <c r="R27" s="43">
        <f t="shared" si="4"/>
        <v>0</v>
      </c>
      <c r="S27" s="3" t="str">
        <f t="shared" si="5"/>
        <v>Leistungswert eintragen</v>
      </c>
      <c r="U27" s="3">
        <f t="shared" si="6"/>
        <v>7</v>
      </c>
      <c r="V27" s="3">
        <f t="shared" si="7"/>
        <v>2.1</v>
      </c>
      <c r="W27" s="3">
        <f t="shared" si="8"/>
        <v>9.1</v>
      </c>
      <c r="X27" s="3" t="str">
        <f t="shared" si="9"/>
        <v/>
      </c>
    </row>
    <row r="28" spans="1:24" ht="15" customHeight="1" x14ac:dyDescent="0.2">
      <c r="A28" s="96">
        <v>7</v>
      </c>
      <c r="B28" s="107"/>
      <c r="C28" s="108" t="s">
        <v>233</v>
      </c>
      <c r="D28" s="108"/>
      <c r="E28" s="108" t="s">
        <v>274</v>
      </c>
      <c r="F28" s="108" t="s">
        <v>284</v>
      </c>
      <c r="G28" s="109">
        <v>15.6</v>
      </c>
      <c r="H28" s="109"/>
      <c r="I28" s="109"/>
      <c r="J28" s="96" t="s">
        <v>259</v>
      </c>
      <c r="K28" s="96" t="s">
        <v>146</v>
      </c>
      <c r="L28" s="43">
        <f>VLOOKUP(K28,Reinigungstage!A10:J31,10,FALSE)</f>
        <v>1</v>
      </c>
      <c r="M28" s="43">
        <f t="shared" si="0"/>
        <v>15.6</v>
      </c>
      <c r="N28" s="110">
        <f t="shared" si="1"/>
        <v>0</v>
      </c>
      <c r="O28" s="43">
        <f ca="1">IF('SVS GrundRG'!H61="",0,'SVS GrundRG'!H61)</f>
        <v>0</v>
      </c>
      <c r="P28" s="43">
        <f t="shared" si="2"/>
        <v>0</v>
      </c>
      <c r="Q28" s="43">
        <f t="shared" si="3"/>
        <v>0</v>
      </c>
      <c r="R28" s="43">
        <f t="shared" si="4"/>
        <v>0</v>
      </c>
      <c r="S28" s="3" t="str">
        <f t="shared" si="5"/>
        <v>Leistungswert eintragen</v>
      </c>
      <c r="U28" s="3">
        <f t="shared" si="6"/>
        <v>7</v>
      </c>
      <c r="V28" s="3">
        <f t="shared" si="7"/>
        <v>2.1</v>
      </c>
      <c r="W28" s="3">
        <f t="shared" si="8"/>
        <v>9.1</v>
      </c>
      <c r="X28" s="3" t="str">
        <f t="shared" si="9"/>
        <v/>
      </c>
    </row>
    <row r="29" spans="1:24" ht="15" customHeight="1" x14ac:dyDescent="0.2">
      <c r="A29" s="96">
        <v>8</v>
      </c>
      <c r="B29" s="107"/>
      <c r="C29" s="108" t="s">
        <v>233</v>
      </c>
      <c r="D29" s="108"/>
      <c r="E29" s="108" t="s">
        <v>271</v>
      </c>
      <c r="F29" s="108" t="s">
        <v>220</v>
      </c>
      <c r="G29" s="109">
        <v>8.82</v>
      </c>
      <c r="H29" s="109"/>
      <c r="I29" s="109"/>
      <c r="J29" s="96" t="s">
        <v>259</v>
      </c>
      <c r="K29" s="96" t="s">
        <v>146</v>
      </c>
      <c r="L29" s="43">
        <f>VLOOKUP(K29,Reinigungstage!A10:J31,10,FALSE)</f>
        <v>1</v>
      </c>
      <c r="M29" s="43">
        <f t="shared" si="0"/>
        <v>8.82</v>
      </c>
      <c r="N29" s="110">
        <f t="shared" si="1"/>
        <v>0</v>
      </c>
      <c r="O29" s="43">
        <f ca="1">IF('SVS GrundRG'!H61="",0,'SVS GrundRG'!H61)</f>
        <v>0</v>
      </c>
      <c r="P29" s="43">
        <f t="shared" si="2"/>
        <v>0</v>
      </c>
      <c r="Q29" s="43">
        <f t="shared" si="3"/>
        <v>0</v>
      </c>
      <c r="R29" s="43">
        <f t="shared" si="4"/>
        <v>0</v>
      </c>
      <c r="S29" s="3" t="str">
        <f t="shared" si="5"/>
        <v>Leistungswert eintragen</v>
      </c>
      <c r="U29" s="3">
        <f t="shared" si="6"/>
        <v>7</v>
      </c>
      <c r="V29" s="3">
        <f t="shared" si="7"/>
        <v>2.1</v>
      </c>
      <c r="W29" s="3">
        <f t="shared" si="8"/>
        <v>9.1</v>
      </c>
      <c r="X29" s="3" t="str">
        <f t="shared" si="9"/>
        <v/>
      </c>
    </row>
    <row r="30" spans="1:24" ht="15" customHeight="1" x14ac:dyDescent="0.2">
      <c r="A30" s="96">
        <v>9</v>
      </c>
      <c r="B30" s="107"/>
      <c r="C30" s="108" t="s">
        <v>233</v>
      </c>
      <c r="D30" s="108"/>
      <c r="E30" s="108" t="s">
        <v>270</v>
      </c>
      <c r="F30" s="108" t="s">
        <v>220</v>
      </c>
      <c r="G30" s="109">
        <v>8.8699999999999992</v>
      </c>
      <c r="H30" s="109"/>
      <c r="I30" s="109"/>
      <c r="J30" s="96" t="s">
        <v>259</v>
      </c>
      <c r="K30" s="96" t="s">
        <v>146</v>
      </c>
      <c r="L30" s="43">
        <f>VLOOKUP(K30,Reinigungstage!A10:J31,10,FALSE)</f>
        <v>1</v>
      </c>
      <c r="M30" s="43">
        <f t="shared" si="0"/>
        <v>8.8699999999999992</v>
      </c>
      <c r="N30" s="110">
        <f t="shared" si="1"/>
        <v>0</v>
      </c>
      <c r="O30" s="43">
        <f ca="1">IF('SVS GrundRG'!H61="",0,'SVS GrundRG'!H61)</f>
        <v>0</v>
      </c>
      <c r="P30" s="43">
        <f t="shared" si="2"/>
        <v>0</v>
      </c>
      <c r="Q30" s="43">
        <f t="shared" si="3"/>
        <v>0</v>
      </c>
      <c r="R30" s="43">
        <f t="shared" si="4"/>
        <v>0</v>
      </c>
      <c r="S30" s="3" t="str">
        <f t="shared" si="5"/>
        <v>Leistungswert eintragen</v>
      </c>
      <c r="U30" s="3">
        <f t="shared" si="6"/>
        <v>7</v>
      </c>
      <c r="V30" s="3">
        <f t="shared" si="7"/>
        <v>2.1</v>
      </c>
      <c r="W30" s="3">
        <f t="shared" si="8"/>
        <v>9.1</v>
      </c>
      <c r="X30" s="3" t="str">
        <f t="shared" si="9"/>
        <v/>
      </c>
    </row>
    <row r="31" spans="1:24" ht="15" customHeight="1" x14ac:dyDescent="0.2">
      <c r="A31" s="96">
        <v>10</v>
      </c>
      <c r="B31" s="107"/>
      <c r="C31" s="108" t="s">
        <v>233</v>
      </c>
      <c r="D31" s="108"/>
      <c r="E31" s="108" t="s">
        <v>287</v>
      </c>
      <c r="F31" s="108" t="s">
        <v>220</v>
      </c>
      <c r="G31" s="109">
        <v>43.01</v>
      </c>
      <c r="H31" s="109"/>
      <c r="I31" s="109"/>
      <c r="J31" s="96" t="s">
        <v>261</v>
      </c>
      <c r="K31" s="96" t="s">
        <v>146</v>
      </c>
      <c r="L31" s="43">
        <f>VLOOKUP(K31,Reinigungstage!A10:J31,10,FALSE)</f>
        <v>1</v>
      </c>
      <c r="M31" s="43">
        <f t="shared" si="0"/>
        <v>43.01</v>
      </c>
      <c r="N31" s="110">
        <f t="shared" si="1"/>
        <v>0</v>
      </c>
      <c r="O31" s="43">
        <f ca="1">IF('SVS GrundRG'!H61="",0,'SVS GrundRG'!H61)</f>
        <v>0</v>
      </c>
      <c r="P31" s="43">
        <f t="shared" si="2"/>
        <v>0</v>
      </c>
      <c r="Q31" s="43">
        <f t="shared" si="3"/>
        <v>0</v>
      </c>
      <c r="R31" s="43">
        <f t="shared" si="4"/>
        <v>0</v>
      </c>
      <c r="S31" s="3" t="str">
        <f t="shared" si="5"/>
        <v>Leistungswert eintragen</v>
      </c>
      <c r="U31" s="3">
        <f t="shared" si="6"/>
        <v>15</v>
      </c>
      <c r="V31" s="3">
        <f t="shared" si="7"/>
        <v>4.5</v>
      </c>
      <c r="W31" s="3">
        <f t="shared" si="8"/>
        <v>19.5</v>
      </c>
      <c r="X31" s="3" t="str">
        <f t="shared" si="9"/>
        <v/>
      </c>
    </row>
  </sheetData>
  <sheetProtection algorithmName="SHA-512" hashValue="nY3MWY4RaEUeuxS9w8ly+ViMjc3ZGFRxxwP08MfhovNKi3hxFwiOkXSaJOpJcpLxJu64Gg7SxZYzLiflP7i7nw==" saltValue="QsG4zbChVGOwU7oqHl9j6g==" spinCount="100000" sheet="1" objects="1" scenarios="1"/>
  <sortState xmlns:xlrd2="http://schemas.microsoft.com/office/spreadsheetml/2017/richdata2" ref="U4:U8">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5" priority="5" operator="containsText" text="Bitte prüfen Sie diese.">
      <formula>NOT(ISERROR(SEARCH("Bitte prüfen Sie diese.",L9)))</formula>
    </cfRule>
  </conditionalFormatting>
  <conditionalFormatting sqref="L10">
    <cfRule type="containsText" dxfId="1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3" priority="3" operator="containsText" text="lediglich Fehleingaben vermeiden wollen.">
      <formula>NOT(ISERROR(SEARCH("lediglich Fehleingaben vermeiden wollen.",L11)))</formula>
    </cfRule>
  </conditionalFormatting>
  <conditionalFormatting sqref="M11">
    <cfRule type="containsText" dxfId="1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1" priority="7" operator="containsText" text="für die Objektart prüfen.">
      <formula>NOT(ISERROR(SEARCH("für die Objektart prüfen.",M12)))</formula>
    </cfRule>
  </conditionalFormatting>
  <conditionalFormatting sqref="N13">
    <cfRule type="expression" dxfId="10" priority="2" stopIfTrue="1">
      <formula>N13=0</formula>
    </cfRule>
  </conditionalFormatting>
  <conditionalFormatting sqref="N14">
    <cfRule type="expression" dxfId="9" priority="1">
      <formula>N14=0</formula>
    </cfRule>
  </conditionalFormatting>
  <conditionalFormatting sqref="N22:N31">
    <cfRule type="expression" dxfId="8" priority="11">
      <formula>X22=0</formula>
    </cfRule>
    <cfRule type="expression" dxfId="7" priority="12" stopIfTrue="1">
      <formula>X22=1</formula>
    </cfRule>
  </conditionalFormatting>
  <conditionalFormatting sqref="O13">
    <cfRule type="containsText" dxfId="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5" priority="9" operator="containsText" text="Wert(e) prüfen.">
      <formula>NOT(ISERROR(SEARCH("Wert(e) prüfen.",O14)))</formula>
    </cfRule>
  </conditionalFormatting>
  <conditionalFormatting sqref="S22:S31">
    <cfRule type="containsText" dxfId="4" priority="13" stopIfTrue="1" operator="containsText" text="SVS prüfen">
      <formula>NOT(ISERROR(SEARCH("SVS prüfen",S22)))</formula>
    </cfRule>
    <cfRule type="containsText" dxfId="3" priority="14" stopIfTrue="1" operator="containsText" text="Leistungswert eintragen">
      <formula>NOT(ISERROR(SEARCH("Leistungswert eintragen",S22)))</formula>
    </cfRule>
  </conditionalFormatting>
  <hyperlinks>
    <hyperlink ref="M1" location="Inhaltsverzeichnis!A1" display="Zurück zum Inhaltsverzeichnis" xr:uid="{E9D2759A-11AB-4469-B6BE-ABE3C189AD05}"/>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Grund Bed Sportplatz</oddFooter>
  </headerFooter>
  <rowBreaks count="1" manualBreakCount="1">
    <brk id="31" max="16383"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4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264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264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264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6">
    <tabColor indexed="16"/>
  </sheetPr>
  <dimension ref="A1:L39"/>
  <sheetViews>
    <sheetView showGridLines="0" zoomScaleNormal="100" workbookViewId="0"/>
  </sheetViews>
  <sheetFormatPr baseColWidth="10" defaultColWidth="0" defaultRowHeight="15" customHeight="1" x14ac:dyDescent="0.15"/>
  <cols>
    <col min="1" max="1" width="7.7109375" style="15" customWidth="1"/>
    <col min="2" max="2" width="28.7109375" style="15" customWidth="1"/>
    <col min="3" max="3" width="12.140625" style="15" bestFit="1" customWidth="1"/>
    <col min="4" max="4" width="13.28515625" style="15" customWidth="1"/>
    <col min="5" max="5" width="15" style="15" customWidth="1"/>
    <col min="6" max="7" width="13.28515625" style="40" customWidth="1"/>
    <col min="8" max="8" width="14.85546875" style="15" customWidth="1"/>
    <col min="9" max="9" width="11.5703125" style="15" customWidth="1"/>
    <col min="10" max="10" width="10" style="40" customWidth="1"/>
    <col min="11" max="11" width="13.85546875" style="40" customWidth="1"/>
    <col min="12" max="12" width="21.7109375" style="15" customWidth="1"/>
    <col min="13" max="16384" width="0" style="15" hidden="1"/>
  </cols>
  <sheetData>
    <row r="1" spans="1:12" ht="26.1" customHeight="1" x14ac:dyDescent="0.15">
      <c r="A1" s="14" t="s">
        <v>331</v>
      </c>
      <c r="B1" s="14"/>
      <c r="C1" s="14"/>
      <c r="D1" s="14"/>
      <c r="E1" s="14"/>
      <c r="F1" s="29"/>
      <c r="G1" s="30" t="s">
        <v>100</v>
      </c>
      <c r="I1" s="25"/>
      <c r="J1" s="29"/>
    </row>
    <row r="2" spans="1:12" ht="24.95" customHeight="1" x14ac:dyDescent="0.15">
      <c r="A2" s="14" t="s">
        <v>103</v>
      </c>
      <c r="B2" s="16" t="str">
        <f>IF(Inhaltsverzeichnis!$C$3="", "",Inhaltsverzeichnis!$C$3)</f>
        <v/>
      </c>
      <c r="C2" s="14"/>
      <c r="D2" s="27" t="b">
        <v>0</v>
      </c>
      <c r="E2" s="181" t="str">
        <f>IF(D2=TRUE,"Hier ist lediglich der Preis pro Tausch (€) auszufüllen.
Die rot markierten Informationen verschwinden, wenn die gelben Zellen ausgefüllt sind.  Wenn keine rote Schrift mehr angezeigt wird, ist alles ausgefüllt.",IF(D3=TRUE,"Die Spalte Fläche (m²) setzt sich aus der Fläche einer Matte multipliziert mit der Anzahl der Matten zusammen. Der Preis pro Tausch (€) ist für die gesamte Fläche einzutragen und nicht für eine Matte.",""))</f>
        <v/>
      </c>
      <c r="F2" s="181"/>
      <c r="G2" s="181"/>
      <c r="H2" s="181"/>
      <c r="I2" s="32"/>
      <c r="J2" s="32"/>
      <c r="K2" s="31"/>
    </row>
    <row r="3" spans="1:12" ht="24.95" customHeight="1" x14ac:dyDescent="0.15">
      <c r="A3" s="14"/>
      <c r="B3" s="14"/>
      <c r="C3" s="14"/>
      <c r="D3" s="27" t="b">
        <v>0</v>
      </c>
      <c r="E3" s="182"/>
      <c r="F3" s="182"/>
      <c r="G3" s="182"/>
      <c r="H3" s="182"/>
      <c r="I3" s="35"/>
      <c r="J3" s="35"/>
      <c r="K3" s="31"/>
      <c r="L3" s="28">
        <f>IF(COUNTA($L$6)-COUNTBLANK($L$6)=0,"",COUNTA($L$6)-COUNTBLANK($L$6))</f>
        <v>1</v>
      </c>
    </row>
    <row r="4" spans="1:12" ht="24.95" customHeight="1" x14ac:dyDescent="0.15">
      <c r="A4" s="183" t="s">
        <v>92</v>
      </c>
      <c r="B4" s="183" t="s">
        <v>113</v>
      </c>
      <c r="C4" s="183" t="s">
        <v>115</v>
      </c>
      <c r="D4" s="177" t="s">
        <v>184</v>
      </c>
      <c r="E4" s="177" t="s">
        <v>185</v>
      </c>
      <c r="F4" s="185" t="s">
        <v>186</v>
      </c>
      <c r="G4" s="186"/>
      <c r="H4" s="187" t="s">
        <v>187</v>
      </c>
      <c r="I4" s="177" t="s">
        <v>116</v>
      </c>
      <c r="J4" s="179" t="s">
        <v>188</v>
      </c>
      <c r="K4" s="179" t="s">
        <v>189</v>
      </c>
    </row>
    <row r="5" spans="1:12" ht="24.95" customHeight="1" x14ac:dyDescent="0.15">
      <c r="A5" s="184"/>
      <c r="B5" s="184"/>
      <c r="C5" s="184"/>
      <c r="D5" s="178"/>
      <c r="E5" s="178"/>
      <c r="F5" s="37" t="s">
        <v>190</v>
      </c>
      <c r="G5" s="37" t="s">
        <v>191</v>
      </c>
      <c r="H5" s="188"/>
      <c r="I5" s="178"/>
      <c r="J5" s="180"/>
      <c r="K5" s="180"/>
    </row>
    <row r="6" spans="1:12" ht="24.95" customHeight="1" x14ac:dyDescent="0.15">
      <c r="A6" s="55">
        <v>1</v>
      </c>
      <c r="B6" s="56" t="s">
        <v>207</v>
      </c>
      <c r="C6" s="56" t="s">
        <v>288</v>
      </c>
      <c r="D6" s="57" t="s">
        <v>136</v>
      </c>
      <c r="E6" s="58">
        <v>2</v>
      </c>
      <c r="F6" s="59">
        <v>400</v>
      </c>
      <c r="G6" s="59">
        <v>135</v>
      </c>
      <c r="H6" s="59">
        <f>F6*G6/10000*E6</f>
        <v>10.8</v>
      </c>
      <c r="I6" s="59">
        <f>VLOOKUP(D6,Reinigungstage!A10:K31,11,FALSE)</f>
        <v>22</v>
      </c>
      <c r="J6" s="130"/>
      <c r="K6" s="59">
        <f>IF(H6=0,0,ROUND($I$6*$J$6,2))</f>
        <v>0</v>
      </c>
      <c r="L6" s="15" t="str">
        <f>IF(H6=0,"",IF(J6=0,"Preis eintragen",""))</f>
        <v>Preis eintragen</v>
      </c>
    </row>
    <row r="7" spans="1:12" ht="15" customHeight="1" x14ac:dyDescent="0.15">
      <c r="A7" s="14"/>
      <c r="B7" s="14"/>
      <c r="C7" s="14"/>
      <c r="D7" s="14"/>
      <c r="E7" s="14"/>
      <c r="F7" s="14"/>
      <c r="G7" s="14"/>
      <c r="H7" s="14"/>
      <c r="I7" s="14"/>
      <c r="J7" s="14"/>
      <c r="K7" s="14"/>
    </row>
    <row r="8" spans="1:12" ht="15" customHeight="1" x14ac:dyDescent="0.15">
      <c r="A8" s="14"/>
      <c r="B8" s="14"/>
      <c r="C8" s="14"/>
      <c r="D8" s="14"/>
      <c r="E8" s="14"/>
      <c r="F8" s="14"/>
      <c r="G8" s="14"/>
      <c r="H8" s="14"/>
      <c r="I8" s="14"/>
      <c r="J8" s="14"/>
      <c r="K8" s="14"/>
    </row>
    <row r="9" spans="1:12" ht="15" customHeight="1" x14ac:dyDescent="0.15">
      <c r="A9" s="14"/>
      <c r="B9" s="14"/>
      <c r="C9" s="14"/>
      <c r="D9" s="14"/>
      <c r="E9" s="14"/>
      <c r="F9" s="14"/>
      <c r="G9" s="14"/>
      <c r="H9" s="14"/>
      <c r="I9" s="14"/>
      <c r="J9" s="14"/>
      <c r="K9" s="14"/>
    </row>
    <row r="10" spans="1:12" ht="15" customHeight="1" x14ac:dyDescent="0.15">
      <c r="A10" s="14"/>
      <c r="B10" s="14"/>
      <c r="C10" s="14"/>
      <c r="D10" s="14"/>
      <c r="E10" s="14"/>
      <c r="F10" s="14"/>
      <c r="G10" s="14"/>
      <c r="H10" s="14"/>
      <c r="I10" s="14"/>
      <c r="J10" s="14"/>
      <c r="K10" s="14"/>
    </row>
    <row r="11" spans="1:12" ht="15" customHeight="1" x14ac:dyDescent="0.15">
      <c r="A11" s="14"/>
      <c r="B11" s="14"/>
      <c r="C11" s="14"/>
      <c r="D11" s="14"/>
      <c r="E11" s="14"/>
      <c r="F11" s="14"/>
      <c r="G11" s="14"/>
      <c r="H11" s="14"/>
      <c r="I11" s="14"/>
      <c r="J11" s="14"/>
      <c r="K11" s="14"/>
    </row>
    <row r="12" spans="1:12" ht="15" customHeight="1" x14ac:dyDescent="0.15">
      <c r="A12" s="14"/>
      <c r="B12" s="14"/>
      <c r="C12" s="14"/>
      <c r="D12" s="14"/>
      <c r="E12" s="14"/>
      <c r="F12" s="14"/>
      <c r="G12" s="14"/>
      <c r="H12" s="14"/>
      <c r="I12" s="14"/>
      <c r="J12" s="14"/>
      <c r="K12" s="14"/>
    </row>
    <row r="13" spans="1:12" ht="15" customHeight="1" x14ac:dyDescent="0.15">
      <c r="A13" s="14"/>
      <c r="B13" s="14"/>
      <c r="C13" s="14"/>
      <c r="D13" s="14"/>
      <c r="E13" s="14"/>
      <c r="F13" s="14"/>
      <c r="G13" s="14"/>
      <c r="H13" s="14"/>
      <c r="I13" s="14"/>
      <c r="J13" s="14"/>
      <c r="K13" s="14"/>
    </row>
    <row r="14" spans="1:12" ht="15" customHeight="1" x14ac:dyDescent="0.15">
      <c r="A14" s="14"/>
      <c r="B14" s="14"/>
      <c r="C14" s="14"/>
      <c r="D14" s="14"/>
      <c r="E14" s="14"/>
      <c r="F14" s="14"/>
      <c r="G14" s="14"/>
      <c r="H14" s="14"/>
      <c r="I14" s="14"/>
      <c r="J14" s="14"/>
      <c r="K14" s="14"/>
    </row>
    <row r="15" spans="1:12" ht="15" customHeight="1" x14ac:dyDescent="0.15">
      <c r="A15" s="14"/>
      <c r="B15" s="14"/>
      <c r="C15" s="14"/>
      <c r="D15" s="14"/>
      <c r="E15" s="14"/>
      <c r="F15" s="14"/>
      <c r="G15" s="14"/>
      <c r="H15" s="14"/>
      <c r="I15" s="14"/>
      <c r="J15" s="14"/>
      <c r="K15" s="14"/>
    </row>
    <row r="16" spans="1:12" ht="15" customHeight="1" x14ac:dyDescent="0.15">
      <c r="A16" s="14"/>
      <c r="B16" s="14"/>
      <c r="C16" s="14"/>
      <c r="D16" s="14"/>
      <c r="E16" s="14"/>
      <c r="F16" s="14"/>
      <c r="G16" s="14"/>
      <c r="H16" s="14"/>
      <c r="I16" s="14"/>
      <c r="J16" s="14"/>
      <c r="K16" s="14"/>
    </row>
    <row r="17" spans="1:11" ht="15" customHeight="1" x14ac:dyDescent="0.15">
      <c r="A17" s="14"/>
      <c r="B17" s="14"/>
      <c r="C17" s="14"/>
      <c r="D17" s="14"/>
      <c r="E17" s="14"/>
      <c r="F17" s="14"/>
      <c r="G17" s="14"/>
      <c r="H17" s="14"/>
      <c r="I17" s="14"/>
      <c r="J17" s="14"/>
      <c r="K17" s="14"/>
    </row>
    <row r="18" spans="1:11" ht="15" customHeight="1" x14ac:dyDescent="0.15">
      <c r="A18" s="14"/>
      <c r="B18" s="14"/>
      <c r="C18" s="14"/>
      <c r="D18" s="14"/>
      <c r="E18" s="14"/>
      <c r="F18" s="14"/>
      <c r="G18" s="14"/>
      <c r="H18" s="14"/>
      <c r="I18" s="14"/>
      <c r="J18" s="14"/>
      <c r="K18" s="14"/>
    </row>
    <row r="19" spans="1:11" ht="15" customHeight="1" x14ac:dyDescent="0.15">
      <c r="A19" s="14"/>
      <c r="B19" s="14"/>
      <c r="C19" s="14"/>
      <c r="D19" s="14"/>
      <c r="E19" s="14"/>
      <c r="F19" s="14"/>
      <c r="G19" s="14"/>
      <c r="H19" s="14"/>
      <c r="I19" s="14"/>
      <c r="J19" s="14"/>
      <c r="K19" s="14"/>
    </row>
    <row r="20" spans="1:11" ht="15" customHeight="1" x14ac:dyDescent="0.15">
      <c r="A20" s="14"/>
      <c r="B20" s="14"/>
      <c r="C20" s="14"/>
      <c r="D20" s="14"/>
      <c r="E20" s="14"/>
      <c r="F20" s="14"/>
      <c r="G20" s="14"/>
      <c r="H20" s="14"/>
      <c r="I20" s="14"/>
      <c r="J20" s="14"/>
      <c r="K20" s="14"/>
    </row>
    <row r="21" spans="1:11" ht="15" customHeight="1" x14ac:dyDescent="0.15">
      <c r="A21" s="14"/>
      <c r="B21" s="14"/>
      <c r="C21" s="14"/>
      <c r="D21" s="14"/>
      <c r="E21" s="14"/>
      <c r="F21" s="14"/>
      <c r="G21" s="14"/>
      <c r="H21" s="14"/>
      <c r="I21" s="14"/>
      <c r="J21" s="14"/>
      <c r="K21" s="14"/>
    </row>
    <row r="22" spans="1:11" ht="15" customHeight="1" x14ac:dyDescent="0.15">
      <c r="A22" s="14"/>
      <c r="B22" s="14"/>
      <c r="C22" s="14"/>
      <c r="D22" s="14"/>
      <c r="E22" s="14"/>
      <c r="F22" s="14"/>
      <c r="G22" s="14"/>
      <c r="H22" s="14"/>
      <c r="I22" s="14"/>
      <c r="J22" s="14"/>
      <c r="K22" s="14"/>
    </row>
    <row r="23" spans="1:11" ht="15" customHeight="1" x14ac:dyDescent="0.15">
      <c r="A23" s="14"/>
      <c r="B23" s="14"/>
      <c r="C23" s="14"/>
      <c r="D23" s="14"/>
      <c r="E23" s="14"/>
      <c r="F23" s="14"/>
      <c r="G23" s="14"/>
      <c r="H23" s="14"/>
      <c r="I23" s="14"/>
      <c r="J23" s="14"/>
      <c r="K23" s="14"/>
    </row>
    <row r="24" spans="1:11" ht="15" customHeight="1" x14ac:dyDescent="0.15">
      <c r="A24" s="14"/>
      <c r="B24" s="14"/>
      <c r="C24" s="14"/>
      <c r="D24" s="14"/>
      <c r="E24" s="14"/>
      <c r="F24" s="14"/>
      <c r="G24" s="14"/>
      <c r="H24" s="14"/>
      <c r="I24" s="14"/>
      <c r="J24" s="14"/>
      <c r="K24" s="14"/>
    </row>
    <row r="25" spans="1:11" ht="15" customHeight="1" x14ac:dyDescent="0.15">
      <c r="A25" s="14"/>
      <c r="B25" s="14"/>
      <c r="C25" s="14"/>
      <c r="D25" s="14"/>
      <c r="E25" s="14"/>
      <c r="F25" s="14"/>
      <c r="G25" s="14"/>
      <c r="H25" s="14"/>
      <c r="I25" s="14"/>
      <c r="J25" s="14"/>
      <c r="K25" s="14"/>
    </row>
    <row r="26" spans="1:11" ht="15" customHeight="1" x14ac:dyDescent="0.15">
      <c r="A26" s="14"/>
      <c r="B26" s="14"/>
      <c r="C26" s="14"/>
      <c r="D26" s="14"/>
      <c r="E26" s="14"/>
      <c r="F26" s="14"/>
      <c r="G26" s="14"/>
      <c r="H26" s="14"/>
      <c r="I26" s="14"/>
      <c r="J26" s="14"/>
      <c r="K26" s="14"/>
    </row>
    <row r="27" spans="1:11" ht="15" customHeight="1" x14ac:dyDescent="0.15">
      <c r="A27" s="14"/>
      <c r="B27" s="14"/>
      <c r="C27" s="14"/>
      <c r="D27" s="14"/>
      <c r="E27" s="14"/>
      <c r="F27" s="14"/>
      <c r="G27" s="14"/>
      <c r="H27" s="14"/>
      <c r="I27" s="14"/>
      <c r="J27" s="14"/>
      <c r="K27" s="14"/>
    </row>
    <row r="28" spans="1:11" ht="15" customHeight="1" x14ac:dyDescent="0.15">
      <c r="A28" s="14"/>
      <c r="B28" s="14"/>
      <c r="C28" s="14"/>
      <c r="D28" s="14"/>
      <c r="E28" s="14"/>
      <c r="F28" s="14"/>
      <c r="G28" s="14"/>
      <c r="H28" s="14"/>
      <c r="I28" s="14"/>
      <c r="J28" s="14"/>
      <c r="K28" s="14"/>
    </row>
    <row r="29" spans="1:11" ht="15" customHeight="1" x14ac:dyDescent="0.15">
      <c r="A29" s="14"/>
      <c r="B29" s="14"/>
      <c r="C29" s="14"/>
      <c r="D29" s="14"/>
      <c r="E29" s="14"/>
      <c r="F29" s="14"/>
      <c r="G29" s="14"/>
      <c r="H29" s="14"/>
      <c r="I29" s="14"/>
      <c r="J29" s="14"/>
      <c r="K29" s="14"/>
    </row>
    <row r="30" spans="1:11" ht="15" customHeight="1" x14ac:dyDescent="0.15">
      <c r="A30" s="14"/>
      <c r="B30" s="14"/>
      <c r="C30" s="14"/>
      <c r="D30" s="14"/>
      <c r="E30" s="14"/>
      <c r="F30" s="14"/>
      <c r="G30" s="14"/>
      <c r="H30" s="14"/>
      <c r="I30" s="14"/>
      <c r="J30" s="14"/>
      <c r="K30" s="14"/>
    </row>
    <row r="31" spans="1:11" ht="15" customHeight="1" x14ac:dyDescent="0.15">
      <c r="A31" s="14"/>
      <c r="B31" s="14"/>
      <c r="C31" s="14"/>
      <c r="D31" s="14"/>
      <c r="E31" s="14"/>
      <c r="F31" s="14"/>
      <c r="G31" s="14"/>
      <c r="H31" s="14"/>
      <c r="I31" s="14"/>
      <c r="J31" s="14"/>
      <c r="K31" s="14"/>
    </row>
    <row r="32" spans="1:11" ht="15" customHeight="1" x14ac:dyDescent="0.15">
      <c r="A32" s="14"/>
      <c r="B32" s="14"/>
      <c r="C32" s="14"/>
      <c r="D32" s="14"/>
      <c r="E32" s="14"/>
      <c r="F32" s="14"/>
      <c r="G32" s="14"/>
      <c r="H32" s="14"/>
      <c r="I32" s="14"/>
      <c r="J32" s="14"/>
      <c r="K32" s="14"/>
    </row>
    <row r="33" spans="1:11" ht="15" customHeight="1" x14ac:dyDescent="0.15">
      <c r="A33" s="14"/>
      <c r="B33" s="14"/>
      <c r="C33" s="14"/>
      <c r="D33" s="14"/>
      <c r="E33" s="14"/>
      <c r="F33" s="14"/>
      <c r="G33" s="14"/>
      <c r="H33" s="14"/>
      <c r="I33" s="14"/>
      <c r="J33" s="14"/>
      <c r="K33" s="14"/>
    </row>
    <row r="34" spans="1:11" ht="15" customHeight="1" x14ac:dyDescent="0.15">
      <c r="A34" s="14"/>
      <c r="B34" s="14"/>
      <c r="C34" s="14"/>
      <c r="D34" s="14"/>
      <c r="E34" s="14"/>
      <c r="F34" s="14"/>
      <c r="G34" s="14"/>
      <c r="H34" s="14"/>
      <c r="I34" s="14"/>
      <c r="J34" s="14"/>
      <c r="K34" s="14"/>
    </row>
    <row r="35" spans="1:11" ht="15" customHeight="1" x14ac:dyDescent="0.15">
      <c r="A35" s="14"/>
      <c r="B35" s="14"/>
      <c r="C35" s="14"/>
      <c r="D35" s="14"/>
      <c r="E35" s="14"/>
      <c r="F35" s="14"/>
      <c r="G35" s="14"/>
      <c r="H35" s="14"/>
      <c r="I35" s="14"/>
      <c r="J35" s="14"/>
      <c r="K35" s="14"/>
    </row>
    <row r="36" spans="1:11" ht="15" customHeight="1" x14ac:dyDescent="0.15">
      <c r="A36" s="14"/>
      <c r="B36" s="14"/>
      <c r="C36" s="14"/>
      <c r="D36" s="14"/>
      <c r="E36" s="14"/>
      <c r="F36" s="14"/>
      <c r="G36" s="14"/>
      <c r="H36" s="14"/>
      <c r="I36" s="14"/>
      <c r="J36" s="14"/>
      <c r="K36" s="14"/>
    </row>
    <row r="37" spans="1:11" ht="15" customHeight="1" x14ac:dyDescent="0.15">
      <c r="A37" s="14"/>
      <c r="B37" s="14"/>
      <c r="C37" s="14"/>
      <c r="D37" s="14"/>
      <c r="E37" s="14"/>
      <c r="F37" s="14"/>
      <c r="G37" s="14"/>
      <c r="H37" s="14"/>
      <c r="I37" s="14"/>
      <c r="J37" s="14"/>
      <c r="K37" s="14"/>
    </row>
    <row r="38" spans="1:11" ht="15" customHeight="1" x14ac:dyDescent="0.15">
      <c r="A38" s="14"/>
      <c r="B38" s="14"/>
      <c r="C38" s="14"/>
      <c r="D38" s="14"/>
      <c r="E38" s="14"/>
      <c r="F38" s="14"/>
      <c r="G38" s="14"/>
      <c r="H38" s="14"/>
      <c r="I38" s="14"/>
      <c r="J38" s="14"/>
      <c r="K38" s="14"/>
    </row>
    <row r="39" spans="1:11" ht="15" customHeight="1" x14ac:dyDescent="0.15">
      <c r="A39" s="14"/>
      <c r="B39" s="14"/>
      <c r="C39" s="14"/>
      <c r="D39" s="14"/>
      <c r="E39" s="14"/>
      <c r="F39" s="14"/>
      <c r="G39" s="14"/>
      <c r="H39" s="14"/>
      <c r="I39" s="14"/>
      <c r="J39" s="14"/>
      <c r="K39" s="14"/>
    </row>
  </sheetData>
  <sheetProtection algorithmName="SHA-512" hashValue="uxksW9v2HDsuD/bt/8uGpuBi1bgbzExsPw2rwwWlLaZ9oFNsRxGLWOOZ2Y1gDM+wc7wny3V8a2zEJpZD8vAOlA==" saltValue="yR4CNbx4fKNjr+7vvhEZfg==" spinCount="100000" sheet="1" objects="1" scenarios="1"/>
  <mergeCells count="11">
    <mergeCell ref="I4:I5"/>
    <mergeCell ref="J4:J5"/>
    <mergeCell ref="K4:K5"/>
    <mergeCell ref="E2:H3"/>
    <mergeCell ref="A4:A5"/>
    <mergeCell ref="B4:B5"/>
    <mergeCell ref="C4:C5"/>
    <mergeCell ref="D4:D5"/>
    <mergeCell ref="E4:E5"/>
    <mergeCell ref="F4:G4"/>
    <mergeCell ref="H4:H5"/>
  </mergeCells>
  <phoneticPr fontId="3" type="noConversion"/>
  <conditionalFormatting sqref="L6">
    <cfRule type="containsText" dxfId="2" priority="1" stopIfTrue="1" operator="containsText" text="Preis eintragen">
      <formula>NOT(ISERROR(SEARCH("Preis eintragen",L6)))</formula>
    </cfRule>
  </conditionalFormatting>
  <hyperlinks>
    <hyperlink ref="G1" location="Inhaltsverzeichnis!A1" display="Zurück zum Inhaltsverzeichnis" xr:uid="{E65CBA42-460D-4F2D-B1AE-B3B1DF91A74C}"/>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Matten Gesamt</oddFooter>
  </headerFooter>
  <rowBreaks count="1" manualBreakCount="1">
    <brk id="6" max="16383"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5060" r:id="rId4" name="Check Box 4">
              <controlPr defaultSize="0" autoFill="0" autoLine="0" autoPict="0" altText="Hinweis">
                <anchor moveWithCells="1">
                  <from>
                    <xdr:col>3</xdr:col>
                    <xdr:colOff>57150</xdr:colOff>
                    <xdr:row>1</xdr:row>
                    <xdr:rowOff>66675</xdr:rowOff>
                  </from>
                  <to>
                    <xdr:col>3</xdr:col>
                    <xdr:colOff>828675</xdr:colOff>
                    <xdr:row>2</xdr:row>
                    <xdr:rowOff>0</xdr:rowOff>
                  </to>
                </anchor>
              </controlPr>
            </control>
          </mc:Choice>
        </mc:AlternateContent>
        <mc:AlternateContent xmlns:mc="http://schemas.openxmlformats.org/markup-compatibility/2006">
          <mc:Choice Requires="x14">
            <control shapeId="45062" r:id="rId5" name="Check Box 6">
              <controlPr defaultSize="0" autoFill="0" autoLine="0" autoPict="0" altText="Hinweis">
                <anchor moveWithCells="1">
                  <from>
                    <xdr:col>3</xdr:col>
                    <xdr:colOff>57150</xdr:colOff>
                    <xdr:row>2</xdr:row>
                    <xdr:rowOff>19050</xdr:rowOff>
                  </from>
                  <to>
                    <xdr:col>3</xdr:col>
                    <xdr:colOff>828675</xdr:colOff>
                    <xdr:row>2</xdr:row>
                    <xdr:rowOff>266700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5" customWidth="1"/>
    <col min="2" max="2" width="28.7109375" style="15" customWidth="1"/>
    <col min="3" max="3" width="35.7109375" style="15" customWidth="1"/>
    <col min="4" max="4" width="20.7109375" style="15" customWidth="1"/>
    <col min="5" max="5" width="11.7109375" style="15" customWidth="1"/>
    <col min="6" max="6" width="16.28515625" style="15" customWidth="1"/>
    <col min="7" max="7" width="17.28515625" style="15" customWidth="1"/>
    <col min="8" max="8" width="22.28515625" style="15" customWidth="1"/>
    <col min="9" max="9" width="11.7109375" style="15" hidden="1" customWidth="1"/>
    <col min="10" max="10" width="5.7109375" style="15" hidden="1" customWidth="1"/>
    <col min="11" max="11" width="12.7109375" style="15" hidden="1" customWidth="1"/>
    <col min="12" max="12" width="13.28515625" style="15" hidden="1" customWidth="1"/>
    <col min="13" max="13" width="10" style="15" hidden="1" customWidth="1"/>
    <col min="14" max="14" width="11.42578125" style="15" hidden="1" customWidth="1"/>
    <col min="15" max="15" width="10.5703125" style="15" hidden="1" customWidth="1"/>
    <col min="16" max="16384" width="0" style="15" hidden="1"/>
  </cols>
  <sheetData>
    <row r="1" spans="1:8" s="14" customFormat="1" ht="36" customHeight="1" x14ac:dyDescent="0.2">
      <c r="A1" s="14" t="s">
        <v>215</v>
      </c>
      <c r="D1" s="25"/>
      <c r="F1" s="26" t="s">
        <v>100</v>
      </c>
    </row>
    <row r="2" spans="1:8" s="14" customFormat="1" ht="25.9" customHeight="1" x14ac:dyDescent="0.2">
      <c r="A2" s="14" t="s">
        <v>103</v>
      </c>
      <c r="B2" s="16" t="str">
        <f>IF(Inhaltsverzeichnis!$C$3="", "",Inhaltsverzeichnis!$C$3)</f>
        <v/>
      </c>
      <c r="C2" s="27" t="b">
        <v>0</v>
      </c>
      <c r="D2" s="181" t="str">
        <f>IF(C2=TRUE,"Hier ist lediglich der Preis pro Einheit (€) auszufüllen.
Die rot markierten Informationen verschwinden, wenn die gelben Zellen ausgefüllt sind.  Wenn keine rote Schrift mehr angezeigt wird, ist alles ausgefüllt.","")</f>
        <v/>
      </c>
      <c r="E2" s="181"/>
      <c r="F2" s="181"/>
      <c r="G2" s="181"/>
    </row>
    <row r="3" spans="1:8" s="14" customFormat="1" ht="15" customHeight="1" x14ac:dyDescent="0.2">
      <c r="D3" s="182"/>
      <c r="E3" s="182"/>
      <c r="F3" s="182"/>
      <c r="G3" s="182"/>
      <c r="H3" s="28">
        <f>IF(COUNTA($H$5:$H$23)-COUNTBLANK($H$5:$H$23)=0,"",COUNTA($H$5:$H$23)-COUNTBLANK($H$5:$H$23))</f>
        <v>19</v>
      </c>
    </row>
    <row r="4" spans="1:8" ht="45" customHeight="1" x14ac:dyDescent="0.15">
      <c r="A4" s="38" t="s">
        <v>92</v>
      </c>
      <c r="B4" s="38" t="s">
        <v>113</v>
      </c>
      <c r="C4" s="39" t="s">
        <v>117</v>
      </c>
      <c r="D4" s="36" t="s">
        <v>147</v>
      </c>
      <c r="E4" s="36" t="s">
        <v>181</v>
      </c>
      <c r="F4" s="36" t="s">
        <v>182</v>
      </c>
      <c r="G4" s="36" t="s">
        <v>183</v>
      </c>
    </row>
    <row r="5" spans="1:8" ht="21" x14ac:dyDescent="0.15">
      <c r="A5" s="52">
        <v>1</v>
      </c>
      <c r="B5" s="51" t="s">
        <v>200</v>
      </c>
      <c r="C5" s="51" t="s">
        <v>289</v>
      </c>
      <c r="D5" s="53" t="s">
        <v>290</v>
      </c>
      <c r="E5" s="53">
        <v>1</v>
      </c>
      <c r="F5" s="131"/>
      <c r="G5" s="54">
        <f t="shared" ref="G5:G23" si="0">ROUND(IF(F5=0,0,F5*E5),2)</f>
        <v>0</v>
      </c>
      <c r="H5" s="14" t="str">
        <f t="shared" ref="H5:H23" si="1">IF(F5=0,"Preis eintragen","")</f>
        <v>Preis eintragen</v>
      </c>
    </row>
    <row r="6" spans="1:8" ht="31.5" x14ac:dyDescent="0.15">
      <c r="A6" s="52">
        <v>2</v>
      </c>
      <c r="B6" s="51" t="s">
        <v>200</v>
      </c>
      <c r="C6" s="51" t="s">
        <v>291</v>
      </c>
      <c r="D6" s="53" t="s">
        <v>292</v>
      </c>
      <c r="E6" s="53">
        <v>1</v>
      </c>
      <c r="F6" s="131"/>
      <c r="G6" s="54">
        <f t="shared" si="0"/>
        <v>0</v>
      </c>
      <c r="H6" s="14" t="str">
        <f t="shared" si="1"/>
        <v>Preis eintragen</v>
      </c>
    </row>
    <row r="7" spans="1:8" ht="21" x14ac:dyDescent="0.15">
      <c r="A7" s="52">
        <v>3</v>
      </c>
      <c r="B7" s="51" t="s">
        <v>200</v>
      </c>
      <c r="C7" s="51" t="s">
        <v>293</v>
      </c>
      <c r="D7" s="53" t="s">
        <v>294</v>
      </c>
      <c r="E7" s="53">
        <v>1</v>
      </c>
      <c r="F7" s="131"/>
      <c r="G7" s="54">
        <f t="shared" si="0"/>
        <v>0</v>
      </c>
      <c r="H7" s="14" t="str">
        <f t="shared" si="1"/>
        <v>Preis eintragen</v>
      </c>
    </row>
    <row r="8" spans="1:8" ht="21" x14ac:dyDescent="0.15">
      <c r="A8" s="52">
        <v>4</v>
      </c>
      <c r="B8" s="51" t="s">
        <v>200</v>
      </c>
      <c r="C8" s="51" t="s">
        <v>295</v>
      </c>
      <c r="D8" s="53" t="s">
        <v>296</v>
      </c>
      <c r="E8" s="53">
        <v>1</v>
      </c>
      <c r="F8" s="131"/>
      <c r="G8" s="54">
        <f t="shared" si="0"/>
        <v>0</v>
      </c>
      <c r="H8" s="14" t="str">
        <f t="shared" si="1"/>
        <v>Preis eintragen</v>
      </c>
    </row>
    <row r="9" spans="1:8" ht="31.5" x14ac:dyDescent="0.15">
      <c r="A9" s="52">
        <v>5</v>
      </c>
      <c r="B9" s="51" t="s">
        <v>200</v>
      </c>
      <c r="C9" s="51" t="s">
        <v>297</v>
      </c>
      <c r="D9" s="53" t="s">
        <v>292</v>
      </c>
      <c r="E9" s="53">
        <v>1</v>
      </c>
      <c r="F9" s="131"/>
      <c r="G9" s="54">
        <f t="shared" si="0"/>
        <v>0</v>
      </c>
      <c r="H9" s="14" t="str">
        <f t="shared" si="1"/>
        <v>Preis eintragen</v>
      </c>
    </row>
    <row r="10" spans="1:8" ht="31.5" x14ac:dyDescent="0.15">
      <c r="A10" s="52">
        <v>6</v>
      </c>
      <c r="B10" s="51" t="s">
        <v>200</v>
      </c>
      <c r="C10" s="51" t="s">
        <v>298</v>
      </c>
      <c r="D10" s="53" t="s">
        <v>292</v>
      </c>
      <c r="E10" s="53">
        <v>1</v>
      </c>
      <c r="F10" s="131"/>
      <c r="G10" s="54">
        <f t="shared" si="0"/>
        <v>0</v>
      </c>
      <c r="H10" s="14" t="str">
        <f t="shared" si="1"/>
        <v>Preis eintragen</v>
      </c>
    </row>
    <row r="11" spans="1:8" ht="21" x14ac:dyDescent="0.15">
      <c r="A11" s="52">
        <v>7</v>
      </c>
      <c r="B11" s="51" t="s">
        <v>207</v>
      </c>
      <c r="C11" s="51" t="s">
        <v>299</v>
      </c>
      <c r="D11" s="53" t="s">
        <v>290</v>
      </c>
      <c r="E11" s="53">
        <v>1</v>
      </c>
      <c r="F11" s="131"/>
      <c r="G11" s="54">
        <f t="shared" si="0"/>
        <v>0</v>
      </c>
      <c r="H11" s="14" t="str">
        <f t="shared" si="1"/>
        <v>Preis eintragen</v>
      </c>
    </row>
    <row r="12" spans="1:8" ht="31.5" x14ac:dyDescent="0.15">
      <c r="A12" s="52">
        <v>8</v>
      </c>
      <c r="B12" s="51" t="s">
        <v>207</v>
      </c>
      <c r="C12" s="51" t="s">
        <v>300</v>
      </c>
      <c r="D12" s="53" t="s">
        <v>292</v>
      </c>
      <c r="E12" s="53">
        <v>1</v>
      </c>
      <c r="F12" s="131"/>
      <c r="G12" s="54">
        <f t="shared" si="0"/>
        <v>0</v>
      </c>
      <c r="H12" s="14" t="str">
        <f t="shared" si="1"/>
        <v>Preis eintragen</v>
      </c>
    </row>
    <row r="13" spans="1:8" ht="21" x14ac:dyDescent="0.15">
      <c r="A13" s="52">
        <v>9</v>
      </c>
      <c r="B13" s="51" t="s">
        <v>207</v>
      </c>
      <c r="C13" s="51" t="s">
        <v>293</v>
      </c>
      <c r="D13" s="53" t="s">
        <v>294</v>
      </c>
      <c r="E13" s="53">
        <v>1</v>
      </c>
      <c r="F13" s="131"/>
      <c r="G13" s="54">
        <f t="shared" si="0"/>
        <v>0</v>
      </c>
      <c r="H13" s="14" t="str">
        <f t="shared" si="1"/>
        <v>Preis eintragen</v>
      </c>
    </row>
    <row r="14" spans="1:8" ht="21" x14ac:dyDescent="0.15">
      <c r="A14" s="52">
        <v>10</v>
      </c>
      <c r="B14" s="51" t="s">
        <v>207</v>
      </c>
      <c r="C14" s="51" t="s">
        <v>295</v>
      </c>
      <c r="D14" s="53" t="s">
        <v>296</v>
      </c>
      <c r="E14" s="53">
        <v>1</v>
      </c>
      <c r="F14" s="131"/>
      <c r="G14" s="54">
        <f t="shared" si="0"/>
        <v>0</v>
      </c>
      <c r="H14" s="14" t="str">
        <f t="shared" si="1"/>
        <v>Preis eintragen</v>
      </c>
    </row>
    <row r="15" spans="1:8" ht="31.5" x14ac:dyDescent="0.15">
      <c r="A15" s="52">
        <v>11</v>
      </c>
      <c r="B15" s="51" t="s">
        <v>207</v>
      </c>
      <c r="C15" s="51" t="s">
        <v>301</v>
      </c>
      <c r="D15" s="53" t="s">
        <v>302</v>
      </c>
      <c r="E15" s="53">
        <v>1</v>
      </c>
      <c r="F15" s="131"/>
      <c r="G15" s="54">
        <f t="shared" si="0"/>
        <v>0</v>
      </c>
      <c r="H15" s="14" t="str">
        <f t="shared" si="1"/>
        <v>Preis eintragen</v>
      </c>
    </row>
    <row r="16" spans="1:8" ht="31.5" x14ac:dyDescent="0.15">
      <c r="A16" s="52">
        <v>12</v>
      </c>
      <c r="B16" s="51" t="s">
        <v>207</v>
      </c>
      <c r="C16" s="51" t="s">
        <v>303</v>
      </c>
      <c r="D16" s="53" t="s">
        <v>292</v>
      </c>
      <c r="E16" s="53">
        <v>1</v>
      </c>
      <c r="F16" s="131"/>
      <c r="G16" s="54">
        <f t="shared" si="0"/>
        <v>0</v>
      </c>
      <c r="H16" s="14" t="str">
        <f t="shared" si="1"/>
        <v>Preis eintragen</v>
      </c>
    </row>
    <row r="17" spans="1:8" ht="15" customHeight="1" x14ac:dyDescent="0.15">
      <c r="A17" s="52">
        <v>13</v>
      </c>
      <c r="B17" s="51" t="s">
        <v>207</v>
      </c>
      <c r="C17" s="51" t="s">
        <v>304</v>
      </c>
      <c r="D17" s="53" t="s">
        <v>292</v>
      </c>
      <c r="E17" s="53">
        <v>1</v>
      </c>
      <c r="F17" s="131"/>
      <c r="G17" s="54">
        <f t="shared" si="0"/>
        <v>0</v>
      </c>
      <c r="H17" s="14" t="str">
        <f t="shared" si="1"/>
        <v>Preis eintragen</v>
      </c>
    </row>
    <row r="18" spans="1:8" ht="21" x14ac:dyDescent="0.15">
      <c r="A18" s="52">
        <v>14</v>
      </c>
      <c r="B18" s="51" t="s">
        <v>210</v>
      </c>
      <c r="C18" s="51" t="s">
        <v>299</v>
      </c>
      <c r="D18" s="53" t="s">
        <v>290</v>
      </c>
      <c r="E18" s="53">
        <v>1</v>
      </c>
      <c r="F18" s="131"/>
      <c r="G18" s="54">
        <f t="shared" si="0"/>
        <v>0</v>
      </c>
      <c r="H18" s="14" t="str">
        <f t="shared" si="1"/>
        <v>Preis eintragen</v>
      </c>
    </row>
    <row r="19" spans="1:8" ht="31.5" x14ac:dyDescent="0.15">
      <c r="A19" s="52">
        <v>15</v>
      </c>
      <c r="B19" s="51" t="s">
        <v>210</v>
      </c>
      <c r="C19" s="51" t="s">
        <v>305</v>
      </c>
      <c r="D19" s="53" t="s">
        <v>292</v>
      </c>
      <c r="E19" s="53">
        <v>1</v>
      </c>
      <c r="F19" s="131"/>
      <c r="G19" s="54">
        <f t="shared" si="0"/>
        <v>0</v>
      </c>
      <c r="H19" s="14" t="str">
        <f t="shared" si="1"/>
        <v>Preis eintragen</v>
      </c>
    </row>
    <row r="20" spans="1:8" ht="21" x14ac:dyDescent="0.15">
      <c r="A20" s="52">
        <v>16</v>
      </c>
      <c r="B20" s="51" t="s">
        <v>210</v>
      </c>
      <c r="C20" s="51" t="s">
        <v>293</v>
      </c>
      <c r="D20" s="53" t="s">
        <v>294</v>
      </c>
      <c r="E20" s="53">
        <v>1</v>
      </c>
      <c r="F20" s="131"/>
      <c r="G20" s="54">
        <f t="shared" si="0"/>
        <v>0</v>
      </c>
      <c r="H20" s="14" t="str">
        <f t="shared" si="1"/>
        <v>Preis eintragen</v>
      </c>
    </row>
    <row r="21" spans="1:8" ht="21" x14ac:dyDescent="0.15">
      <c r="A21" s="52">
        <v>17</v>
      </c>
      <c r="B21" s="51" t="s">
        <v>210</v>
      </c>
      <c r="C21" s="51" t="s">
        <v>295</v>
      </c>
      <c r="D21" s="53" t="s">
        <v>296</v>
      </c>
      <c r="E21" s="53">
        <v>1</v>
      </c>
      <c r="F21" s="131"/>
      <c r="G21" s="54">
        <f t="shared" si="0"/>
        <v>0</v>
      </c>
      <c r="H21" s="14" t="str">
        <f t="shared" si="1"/>
        <v>Preis eintragen</v>
      </c>
    </row>
    <row r="22" spans="1:8" ht="31.5" x14ac:dyDescent="0.15">
      <c r="A22" s="52">
        <v>18</v>
      </c>
      <c r="B22" s="51" t="s">
        <v>210</v>
      </c>
      <c r="C22" s="51" t="s">
        <v>303</v>
      </c>
      <c r="D22" s="53" t="s">
        <v>292</v>
      </c>
      <c r="E22" s="53">
        <v>1</v>
      </c>
      <c r="F22" s="131"/>
      <c r="G22" s="54">
        <f t="shared" si="0"/>
        <v>0</v>
      </c>
      <c r="H22" s="14" t="str">
        <f t="shared" si="1"/>
        <v>Preis eintragen</v>
      </c>
    </row>
    <row r="23" spans="1:8" ht="21" x14ac:dyDescent="0.15">
      <c r="A23" s="52">
        <v>19</v>
      </c>
      <c r="B23" s="51" t="s">
        <v>210</v>
      </c>
      <c r="C23" s="51" t="s">
        <v>306</v>
      </c>
      <c r="D23" s="53" t="s">
        <v>292</v>
      </c>
      <c r="E23" s="53">
        <v>1</v>
      </c>
      <c r="F23" s="131"/>
      <c r="G23" s="54">
        <f t="shared" si="0"/>
        <v>0</v>
      </c>
      <c r="H23" s="14" t="str">
        <f t="shared" si="1"/>
        <v>Preis eintragen</v>
      </c>
    </row>
    <row r="24" spans="1:8" ht="10.5" x14ac:dyDescent="0.15">
      <c r="A24" s="14"/>
      <c r="B24" s="14"/>
      <c r="C24" s="14"/>
      <c r="D24" s="14"/>
      <c r="E24" s="14"/>
      <c r="F24" s="14"/>
      <c r="G24" s="14"/>
      <c r="H24" s="14"/>
    </row>
    <row r="25" spans="1:8" ht="15" customHeight="1" x14ac:dyDescent="0.15">
      <c r="A25" s="14"/>
      <c r="B25" s="14" t="s">
        <v>332</v>
      </c>
      <c r="C25" s="14"/>
      <c r="D25" s="14"/>
      <c r="E25" s="14"/>
      <c r="F25" s="14"/>
      <c r="G25" s="14"/>
      <c r="H25" s="14"/>
    </row>
    <row r="26" spans="1:8" ht="15" customHeight="1" x14ac:dyDescent="0.15">
      <c r="A26" s="14"/>
      <c r="B26" s="14" t="s">
        <v>333</v>
      </c>
      <c r="C26" s="14"/>
      <c r="D26" s="14"/>
      <c r="E26" s="14"/>
      <c r="F26" s="14"/>
      <c r="G26" s="14"/>
      <c r="H26" s="14"/>
    </row>
    <row r="27" spans="1:8" ht="15" customHeight="1" x14ac:dyDescent="0.15">
      <c r="A27" s="14"/>
      <c r="B27" s="14" t="s">
        <v>334</v>
      </c>
      <c r="C27" s="14"/>
      <c r="D27" s="14"/>
      <c r="E27" s="14"/>
      <c r="F27" s="14"/>
      <c r="G27" s="14"/>
      <c r="H27" s="14"/>
    </row>
    <row r="28" spans="1:8" ht="10.5" x14ac:dyDescent="0.15">
      <c r="A28" s="14"/>
      <c r="B28" s="14"/>
      <c r="C28" s="14"/>
      <c r="D28" s="14"/>
      <c r="E28" s="14"/>
      <c r="F28" s="14"/>
      <c r="G28" s="14"/>
      <c r="H28" s="14"/>
    </row>
    <row r="29" spans="1:8" ht="10.5" x14ac:dyDescent="0.15">
      <c r="A29" s="14"/>
      <c r="B29" s="14"/>
      <c r="C29" s="14"/>
      <c r="D29" s="14"/>
      <c r="E29" s="14"/>
      <c r="F29" s="14"/>
      <c r="G29" s="14"/>
      <c r="H29" s="14"/>
    </row>
    <row r="30" spans="1:8" ht="10.5" x14ac:dyDescent="0.15">
      <c r="A30" s="14"/>
      <c r="B30" s="14"/>
      <c r="C30" s="14"/>
      <c r="D30" s="14"/>
      <c r="E30" s="14"/>
      <c r="F30" s="14"/>
      <c r="G30" s="14"/>
      <c r="H30" s="14"/>
    </row>
    <row r="31" spans="1:8" ht="10.5" x14ac:dyDescent="0.15">
      <c r="A31" s="14"/>
      <c r="B31" s="14"/>
      <c r="C31" s="14"/>
      <c r="D31" s="14"/>
      <c r="E31" s="14"/>
      <c r="F31" s="14"/>
      <c r="G31" s="14"/>
      <c r="H31" s="14"/>
    </row>
    <row r="32" spans="1:8" ht="10.5" x14ac:dyDescent="0.15">
      <c r="A32" s="14"/>
      <c r="B32" s="14"/>
      <c r="C32" s="14"/>
      <c r="D32" s="14"/>
      <c r="E32" s="14"/>
      <c r="F32" s="14"/>
      <c r="G32" s="14"/>
      <c r="H32" s="14"/>
    </row>
    <row r="33" spans="1:8" ht="10.5" x14ac:dyDescent="0.15">
      <c r="A33" s="14"/>
      <c r="B33" s="14"/>
      <c r="C33" s="14"/>
      <c r="D33" s="14"/>
      <c r="E33" s="14"/>
      <c r="F33" s="14"/>
      <c r="G33" s="14"/>
      <c r="H33" s="14"/>
    </row>
    <row r="34" spans="1:8" ht="10.5" x14ac:dyDescent="0.15">
      <c r="A34" s="14"/>
      <c r="B34" s="14"/>
      <c r="C34" s="14"/>
      <c r="D34" s="14"/>
      <c r="E34" s="14"/>
      <c r="F34" s="14"/>
      <c r="G34" s="14"/>
      <c r="H34" s="14"/>
    </row>
    <row r="35" spans="1:8" ht="10.5" x14ac:dyDescent="0.15">
      <c r="A35" s="14"/>
      <c r="B35" s="14"/>
      <c r="C35" s="14"/>
      <c r="D35" s="14"/>
      <c r="E35" s="14"/>
      <c r="F35" s="14"/>
      <c r="G35" s="14"/>
      <c r="H35" s="14"/>
    </row>
    <row r="36" spans="1:8" ht="10.5" x14ac:dyDescent="0.15">
      <c r="A36" s="14"/>
      <c r="B36" s="14"/>
      <c r="C36" s="14"/>
      <c r="D36" s="14"/>
      <c r="E36" s="14"/>
      <c r="F36" s="14"/>
      <c r="G36" s="14"/>
      <c r="H36" s="14"/>
    </row>
    <row r="37" spans="1:8" ht="10.5" x14ac:dyDescent="0.15">
      <c r="A37" s="14"/>
      <c r="B37" s="14"/>
      <c r="C37" s="14"/>
      <c r="D37" s="14"/>
      <c r="E37" s="14"/>
      <c r="F37" s="14"/>
      <c r="G37" s="14"/>
      <c r="H37" s="14"/>
    </row>
    <row r="38" spans="1:8" ht="10.5" x14ac:dyDescent="0.15">
      <c r="A38" s="14"/>
      <c r="B38" s="14"/>
      <c r="C38" s="14"/>
      <c r="D38" s="14"/>
      <c r="E38" s="14"/>
      <c r="F38" s="14"/>
      <c r="G38" s="14"/>
      <c r="H38" s="14"/>
    </row>
    <row r="39" spans="1:8" ht="10.5" x14ac:dyDescent="0.15">
      <c r="A39" s="14"/>
      <c r="B39" s="14"/>
      <c r="C39" s="14"/>
      <c r="D39" s="14"/>
      <c r="E39" s="14"/>
      <c r="F39" s="14"/>
      <c r="G39" s="14"/>
      <c r="H39" s="14"/>
    </row>
    <row r="40" spans="1:8" ht="10.5" x14ac:dyDescent="0.15">
      <c r="A40" s="14"/>
      <c r="B40" s="14"/>
      <c r="C40" s="14"/>
      <c r="D40" s="14"/>
      <c r="E40" s="14"/>
      <c r="F40" s="14"/>
      <c r="G40" s="14"/>
      <c r="H40" s="14"/>
    </row>
    <row r="41" spans="1:8" ht="10.5" x14ac:dyDescent="0.15">
      <c r="A41" s="14"/>
      <c r="B41" s="14"/>
      <c r="C41" s="14"/>
      <c r="D41" s="14"/>
      <c r="E41" s="14"/>
      <c r="F41" s="14"/>
      <c r="G41" s="14"/>
      <c r="H41" s="14"/>
    </row>
    <row r="42" spans="1:8" ht="10.5" x14ac:dyDescent="0.15">
      <c r="A42" s="14"/>
      <c r="B42" s="14"/>
      <c r="C42" s="14"/>
      <c r="D42" s="14"/>
      <c r="E42" s="14"/>
      <c r="F42" s="14"/>
      <c r="G42" s="14"/>
      <c r="H42" s="14"/>
    </row>
    <row r="43" spans="1:8" ht="10.5" x14ac:dyDescent="0.15">
      <c r="A43" s="14"/>
      <c r="B43" s="14"/>
      <c r="C43" s="14"/>
      <c r="D43" s="14"/>
      <c r="E43" s="14"/>
      <c r="F43" s="14"/>
      <c r="G43" s="14"/>
      <c r="H43" s="14"/>
    </row>
    <row r="44" spans="1:8" ht="10.5" x14ac:dyDescent="0.15">
      <c r="A44" s="14"/>
      <c r="B44" s="14"/>
      <c r="C44" s="14"/>
      <c r="D44" s="14"/>
      <c r="E44" s="14"/>
      <c r="F44" s="14"/>
      <c r="G44" s="14"/>
      <c r="H44" s="14"/>
    </row>
    <row r="45" spans="1:8" ht="10.5" x14ac:dyDescent="0.15">
      <c r="A45" s="14"/>
      <c r="B45" s="14"/>
      <c r="C45" s="14"/>
      <c r="D45" s="14"/>
      <c r="E45" s="14"/>
      <c r="F45" s="14"/>
      <c r="G45" s="14"/>
      <c r="H45" s="14"/>
    </row>
  </sheetData>
  <sheetProtection algorithmName="SHA-512" hashValue="kVZMT67xzfIonz6A4Q7kYf9PPvjYJrWKlxdqsqC8TlEqcLP76dL2p8yCydvxrq0cBLQzW2fGvYOKdTIlfOMolg==" saltValue="pe88iUeEEOsW4Hq+/yGoJA==" spinCount="100000" sheet="1" objects="1" scenarios="1"/>
  <mergeCells count="1">
    <mergeCell ref="D2:G3"/>
  </mergeCells>
  <phoneticPr fontId="3" type="noConversion"/>
  <conditionalFormatting sqref="H5:H23">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Verbrauch Gesamt</oddFooter>
  </headerFooter>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EF84-9138-4AA7-BBE1-3F07009746C0}">
  <sheetPr>
    <tabColor rgb="FF800000"/>
  </sheetPr>
  <dimension ref="A1:L46"/>
  <sheetViews>
    <sheetView showGridLines="0" zoomScaleNormal="100" workbookViewId="0"/>
  </sheetViews>
  <sheetFormatPr baseColWidth="10" defaultColWidth="0" defaultRowHeight="10.5" x14ac:dyDescent="0.2"/>
  <cols>
    <col min="1" max="1" width="6.7109375" style="14" customWidth="1"/>
    <col min="2" max="2" width="35.7109375" style="14" customWidth="1"/>
    <col min="3" max="3" width="14.5703125" style="14" customWidth="1"/>
    <col min="4" max="4" width="11.7109375" style="14" customWidth="1"/>
    <col min="5" max="5" width="11.42578125" style="14" customWidth="1"/>
    <col min="6" max="6" width="22.28515625" style="14" bestFit="1" customWidth="1"/>
    <col min="7" max="7" width="11.42578125" style="14" customWidth="1"/>
    <col min="8" max="16384" width="11.42578125" style="14" hidden="1"/>
  </cols>
  <sheetData>
    <row r="1" spans="1:8" ht="21.95" customHeight="1" x14ac:dyDescent="0.2">
      <c r="A1" s="14" t="s">
        <v>317</v>
      </c>
      <c r="D1" s="24" t="s">
        <v>100</v>
      </c>
    </row>
    <row r="2" spans="1:8" ht="65.099999999999994" customHeight="1" x14ac:dyDescent="0.2">
      <c r="A2" s="14" t="s">
        <v>103</v>
      </c>
      <c r="B2" s="16" t="str">
        <f>IF(Inhaltsverzeichnis!$C$3="", "",Inhaltsverzeichnis!$C$3)</f>
        <v/>
      </c>
      <c r="C2" s="27" t="b">
        <v>0</v>
      </c>
      <c r="D2" s="181" t="str">
        <f>IF(C2=TRUE,"Bitte tragen Sie Ihren Preis in die gelben Zellen direkt unter der Zelle Preis pro m² in € ein. " &amp; "Die rot markierten Informationen sind nur zur Unterstützung. Sie zeigen an, wenn gelbe Zellen in dieser Tabelle nicht ausgefüllt sind. " &amp;
"Wenn keine rote Schrift mehr angezeigt wird, ist alles ausgefüllt.","")</f>
        <v/>
      </c>
      <c r="E2" s="181"/>
      <c r="F2" s="181"/>
      <c r="G2" s="181"/>
      <c r="H2" s="32"/>
    </row>
    <row r="3" spans="1:8" ht="15" customHeight="1" x14ac:dyDescent="0.2">
      <c r="D3" s="35"/>
      <c r="E3" s="32"/>
      <c r="F3" s="122">
        <f>IF(COUNTA($F$5:$F$5)-COUNTBLANK($F$5:$F$5)=0,"",COUNTA($F$5:$F$5)-COUNTBLANK($F$5:$F$5))</f>
        <v>1</v>
      </c>
      <c r="G3" s="32"/>
      <c r="H3" s="32"/>
    </row>
    <row r="4" spans="1:8" ht="35.25" customHeight="1" x14ac:dyDescent="0.2">
      <c r="A4" s="123" t="s">
        <v>92</v>
      </c>
      <c r="B4" s="123" t="s">
        <v>113</v>
      </c>
      <c r="C4" s="123" t="s">
        <v>197</v>
      </c>
      <c r="D4" s="124" t="s">
        <v>318</v>
      </c>
      <c r="E4" s="36" t="s">
        <v>196</v>
      </c>
    </row>
    <row r="5" spans="1:8" ht="15" customHeight="1" x14ac:dyDescent="0.2">
      <c r="A5" s="125">
        <v>1</v>
      </c>
      <c r="B5" s="126" t="s">
        <v>207</v>
      </c>
      <c r="C5" s="127"/>
      <c r="D5" s="41"/>
      <c r="E5" s="128">
        <f>D5</f>
        <v>0</v>
      </c>
      <c r="F5" s="14" t="str">
        <f t="shared" ref="F5" si="0">IF(B5=0,"",IF(D5=0,"Preis eintragen",""))</f>
        <v>Preis eintragen</v>
      </c>
    </row>
    <row r="21" spans="12:12" x14ac:dyDescent="0.2">
      <c r="L21" s="129"/>
    </row>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row r="42" s="14" customFormat="1" x14ac:dyDescent="0.2"/>
    <row r="43" s="14" customFormat="1" x14ac:dyDescent="0.2"/>
    <row r="44" s="14" customFormat="1" x14ac:dyDescent="0.2"/>
    <row r="45" s="14" customFormat="1" x14ac:dyDescent="0.2"/>
    <row r="46" s="14" customFormat="1" x14ac:dyDescent="0.2"/>
  </sheetData>
  <sheetProtection algorithmName="SHA-512" hashValue="XYGaoUTPbl/u+uaC3oloxKDHwRzf3Kg4LIH0Xh0HBXNutpNlHaT22tfspPhumkN6FChB6Yp4JI9ZK4OVcpEbHg==" saltValue="Y0aVbpdSJhW03y8tHgPWIg==" spinCount="100000" sheet="1" objects="1" scenarios="1"/>
  <mergeCells count="1">
    <mergeCell ref="D2:G2"/>
  </mergeCells>
  <conditionalFormatting sqref="F5">
    <cfRule type="containsText" dxfId="0" priority="1" stopIfTrue="1" operator="containsText" text="Preis eintragen">
      <formula>NOT(ISERROR(SEARCH("Preis eintragen",F5)))</formula>
    </cfRule>
  </conditionalFormatting>
  <hyperlinks>
    <hyperlink ref="D1" location="Inhaltsverzeichnis!A1" display="Zurück zum Inhaltsverzeichnis" xr:uid="{DD28CEBA-B4A3-43EC-B574-C2D51215517E}"/>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Ballw u Harzentfernung</oddFooter>
  </headerFooter>
  <rowBreaks count="1" manualBreakCount="1">
    <brk id="5" max="1638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Check Box 1">
              <controlPr defaultSize="0" autoFill="0" autoLine="0" autoPict="0" altText="Hinweis">
                <anchor moveWithCells="1">
                  <from>
                    <xdr:col>2</xdr:col>
                    <xdr:colOff>47625</xdr:colOff>
                    <xdr:row>1</xdr:row>
                    <xdr:rowOff>200025</xdr:rowOff>
                  </from>
                  <to>
                    <xdr:col>2</xdr:col>
                    <xdr:colOff>819150</xdr:colOff>
                    <xdr:row>1</xdr:row>
                    <xdr:rowOff>523875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K31"/>
  <sheetViews>
    <sheetView showGridLines="0" zoomScaleNormal="100" workbookViewId="0"/>
  </sheetViews>
  <sheetFormatPr baseColWidth="10" defaultColWidth="6.42578125" defaultRowHeight="10.5" x14ac:dyDescent="0.15"/>
  <cols>
    <col min="1" max="1" width="22.42578125" style="6" customWidth="1"/>
    <col min="2" max="11" width="13.7109375" style="18" customWidth="1"/>
    <col min="12" max="52" width="13.7109375" style="6" customWidth="1"/>
    <col min="53" max="16384" width="6.42578125" style="6"/>
  </cols>
  <sheetData>
    <row r="1" spans="1:11" s="3" customFormat="1" ht="35.450000000000003" customHeight="1" x14ac:dyDescent="0.2">
      <c r="A1" s="3" t="s">
        <v>178</v>
      </c>
      <c r="B1" s="18"/>
      <c r="C1" s="18"/>
      <c r="D1" s="121" t="b">
        <v>0</v>
      </c>
      <c r="E1" s="132" t="str">
        <f>IF(D1=TRUE,"Hier muss nichts ausgefüllt werden. Sie sehen hier die Reinigungsarten mit den maximalen Reinigungstagen. Mehrere Tabellen greifen hierauf zu.","")</f>
        <v/>
      </c>
      <c r="F1" s="132"/>
      <c r="G1" s="132"/>
      <c r="H1" s="132"/>
      <c r="I1" s="34" t="s">
        <v>100</v>
      </c>
      <c r="J1" s="18"/>
      <c r="K1" s="18"/>
    </row>
    <row r="2" spans="1:11" s="3" customFormat="1" ht="26.45" customHeight="1" x14ac:dyDescent="0.2">
      <c r="A2" s="3" t="s">
        <v>103</v>
      </c>
      <c r="B2" s="4" t="str">
        <f>IF(Inhaltsverzeichnis!$C$3="","",Inhaltsverzeichnis!$C$3)</f>
        <v/>
      </c>
      <c r="C2" s="18"/>
      <c r="D2" s="18"/>
      <c r="E2" s="132"/>
      <c r="F2" s="132"/>
      <c r="G2" s="132"/>
      <c r="H2" s="132"/>
      <c r="I2" s="18"/>
      <c r="J2" s="18"/>
      <c r="K2" s="18"/>
    </row>
    <row r="3" spans="1:11" s="3" customFormat="1" ht="15" customHeight="1" x14ac:dyDescent="0.2">
      <c r="B3" s="18"/>
      <c r="C3" s="18"/>
      <c r="D3" s="18"/>
      <c r="E3" s="63"/>
      <c r="F3" s="63"/>
      <c r="G3" s="18"/>
      <c r="H3" s="18"/>
      <c r="I3" s="18"/>
      <c r="J3" s="18"/>
      <c r="K3" s="18"/>
    </row>
    <row r="4" spans="1:11" ht="25.5" customHeight="1" x14ac:dyDescent="0.15">
      <c r="A4" s="112" t="s">
        <v>113</v>
      </c>
      <c r="B4" s="112" t="s">
        <v>200</v>
      </c>
      <c r="C4" s="112" t="s">
        <v>207</v>
      </c>
      <c r="D4" s="112" t="s">
        <v>200</v>
      </c>
      <c r="E4" s="112" t="s">
        <v>207</v>
      </c>
      <c r="F4" s="112" t="s">
        <v>200</v>
      </c>
      <c r="G4" s="112" t="s">
        <v>207</v>
      </c>
      <c r="H4" s="112" t="s">
        <v>210</v>
      </c>
      <c r="I4" s="112" t="s">
        <v>200</v>
      </c>
      <c r="J4" s="112" t="s">
        <v>210</v>
      </c>
      <c r="K4" s="112" t="s">
        <v>207</v>
      </c>
    </row>
    <row r="5" spans="1:11" ht="25.5" customHeight="1" x14ac:dyDescent="0.15">
      <c r="A5" s="112" t="s">
        <v>145</v>
      </c>
      <c r="B5" s="112" t="s">
        <v>307</v>
      </c>
      <c r="C5" s="112" t="s">
        <v>307</v>
      </c>
      <c r="D5" s="112" t="s">
        <v>307</v>
      </c>
      <c r="E5" s="112" t="s">
        <v>307</v>
      </c>
      <c r="F5" s="112" t="s">
        <v>307</v>
      </c>
      <c r="G5" s="112" t="s">
        <v>307</v>
      </c>
      <c r="H5" s="112" t="s">
        <v>307</v>
      </c>
      <c r="I5" s="112" t="s">
        <v>307</v>
      </c>
      <c r="J5" s="112" t="s">
        <v>307</v>
      </c>
      <c r="K5" s="112" t="s">
        <v>307</v>
      </c>
    </row>
    <row r="6" spans="1:11" ht="25.5" customHeight="1" x14ac:dyDescent="0.15">
      <c r="A6" s="112" t="s">
        <v>115</v>
      </c>
      <c r="B6" s="1" t="s">
        <v>308</v>
      </c>
      <c r="C6" s="1" t="s">
        <v>308</v>
      </c>
      <c r="D6" s="1" t="s">
        <v>310</v>
      </c>
      <c r="E6" s="1" t="s">
        <v>310</v>
      </c>
      <c r="F6" s="1" t="s">
        <v>311</v>
      </c>
      <c r="G6" s="1" t="s">
        <v>311</v>
      </c>
      <c r="H6" s="1" t="s">
        <v>311</v>
      </c>
      <c r="I6" s="1" t="s">
        <v>312</v>
      </c>
      <c r="J6" s="1" t="s">
        <v>312</v>
      </c>
      <c r="K6" s="1" t="s">
        <v>313</v>
      </c>
    </row>
    <row r="7" spans="1:11" ht="35.1" customHeight="1" x14ac:dyDescent="0.15">
      <c r="A7" s="1" t="s">
        <v>192</v>
      </c>
      <c r="B7" s="113">
        <v>191.33</v>
      </c>
      <c r="C7" s="113">
        <v>209.33</v>
      </c>
      <c r="D7" s="113">
        <v>1</v>
      </c>
      <c r="E7" s="113">
        <v>1</v>
      </c>
      <c r="F7" s="113">
        <v>2</v>
      </c>
      <c r="G7" s="113">
        <v>25</v>
      </c>
      <c r="H7" s="113">
        <v>15</v>
      </c>
      <c r="I7" s="113">
        <v>1</v>
      </c>
      <c r="J7" s="113">
        <v>1</v>
      </c>
      <c r="K7" s="113">
        <v>209.33</v>
      </c>
    </row>
    <row r="8" spans="1:11" ht="6" customHeight="1" x14ac:dyDescent="0.15">
      <c r="A8" s="114"/>
      <c r="B8" s="61"/>
      <c r="C8" s="61"/>
      <c r="D8" s="61"/>
      <c r="E8" s="61"/>
      <c r="F8" s="61"/>
      <c r="G8" s="61"/>
      <c r="H8" s="61"/>
      <c r="I8" s="61"/>
      <c r="J8" s="61"/>
      <c r="K8" s="61"/>
    </row>
    <row r="9" spans="1:11" ht="25.5" customHeight="1" x14ac:dyDescent="0.15">
      <c r="A9" s="112" t="s">
        <v>193</v>
      </c>
      <c r="B9" s="1" t="s">
        <v>309</v>
      </c>
      <c r="C9" s="1" t="s">
        <v>309</v>
      </c>
      <c r="D9" s="1" t="s">
        <v>309</v>
      </c>
      <c r="E9" s="1" t="s">
        <v>309</v>
      </c>
      <c r="F9" s="1" t="s">
        <v>309</v>
      </c>
      <c r="G9" s="1" t="s">
        <v>309</v>
      </c>
      <c r="H9" s="1" t="s">
        <v>309</v>
      </c>
      <c r="I9" s="1" t="s">
        <v>309</v>
      </c>
      <c r="J9" s="1" t="s">
        <v>309</v>
      </c>
      <c r="K9" s="1" t="s">
        <v>309</v>
      </c>
    </row>
    <row r="10" spans="1:11" ht="15" customHeight="1" x14ac:dyDescent="0.15">
      <c r="A10" s="115">
        <v>12</v>
      </c>
      <c r="B10" s="116">
        <f t="shared" ref="B10:B17" si="0">ROUND($B$7/5*A10,2)</f>
        <v>459.19</v>
      </c>
      <c r="C10" s="116">
        <f t="shared" ref="C10:C17" si="1">ROUND($C$7/5*A10,2)</f>
        <v>502.39</v>
      </c>
      <c r="D10" s="117"/>
      <c r="E10" s="117"/>
      <c r="F10" s="116">
        <f t="shared" ref="F10:F17" si="2">ROUND($F$7/5*A10,2)</f>
        <v>4.8</v>
      </c>
      <c r="G10" s="116">
        <f t="shared" ref="G10:G17" si="3">ROUND($G$7/5*A10,2)</f>
        <v>60</v>
      </c>
      <c r="H10" s="116">
        <f t="shared" ref="H10:H17" si="4">ROUND($H$7/5*A10,2)</f>
        <v>36</v>
      </c>
      <c r="I10" s="117"/>
      <c r="J10" s="117"/>
      <c r="K10" s="116">
        <f t="shared" ref="K10:K17" si="5">ROUND($K$7/5*A10,2)</f>
        <v>502.39</v>
      </c>
    </row>
    <row r="11" spans="1:11" ht="15" customHeight="1" x14ac:dyDescent="0.15">
      <c r="A11" s="115">
        <v>10</v>
      </c>
      <c r="B11" s="116">
        <f t="shared" si="0"/>
        <v>382.66</v>
      </c>
      <c r="C11" s="116">
        <f t="shared" si="1"/>
        <v>418.66</v>
      </c>
      <c r="D11" s="117"/>
      <c r="E11" s="117"/>
      <c r="F11" s="116">
        <f t="shared" si="2"/>
        <v>4</v>
      </c>
      <c r="G11" s="116">
        <f t="shared" si="3"/>
        <v>50</v>
      </c>
      <c r="H11" s="116">
        <f t="shared" si="4"/>
        <v>30</v>
      </c>
      <c r="I11" s="117"/>
      <c r="J11" s="117"/>
      <c r="K11" s="116">
        <f t="shared" si="5"/>
        <v>418.66</v>
      </c>
    </row>
    <row r="12" spans="1:11" ht="15" customHeight="1" x14ac:dyDescent="0.15">
      <c r="A12" s="115">
        <v>7</v>
      </c>
      <c r="B12" s="116">
        <f t="shared" si="0"/>
        <v>267.86</v>
      </c>
      <c r="C12" s="116">
        <f t="shared" si="1"/>
        <v>293.06</v>
      </c>
      <c r="D12" s="117"/>
      <c r="E12" s="117"/>
      <c r="F12" s="116">
        <f t="shared" si="2"/>
        <v>2.8</v>
      </c>
      <c r="G12" s="116">
        <f t="shared" si="3"/>
        <v>35</v>
      </c>
      <c r="H12" s="116">
        <f t="shared" si="4"/>
        <v>21</v>
      </c>
      <c r="I12" s="117"/>
      <c r="J12" s="117"/>
      <c r="K12" s="116">
        <f t="shared" si="5"/>
        <v>293.06</v>
      </c>
    </row>
    <row r="13" spans="1:11" ht="15" customHeight="1" x14ac:dyDescent="0.15">
      <c r="A13" s="115">
        <v>6</v>
      </c>
      <c r="B13" s="116">
        <f t="shared" si="0"/>
        <v>229.6</v>
      </c>
      <c r="C13" s="116">
        <f t="shared" si="1"/>
        <v>251.2</v>
      </c>
      <c r="D13" s="117"/>
      <c r="E13" s="117"/>
      <c r="F13" s="116">
        <f t="shared" si="2"/>
        <v>2.4</v>
      </c>
      <c r="G13" s="116">
        <f t="shared" si="3"/>
        <v>30</v>
      </c>
      <c r="H13" s="116">
        <f t="shared" si="4"/>
        <v>18</v>
      </c>
      <c r="I13" s="117"/>
      <c r="J13" s="117"/>
      <c r="K13" s="116">
        <f t="shared" si="5"/>
        <v>251.2</v>
      </c>
    </row>
    <row r="14" spans="1:11" ht="15" customHeight="1" x14ac:dyDescent="0.15">
      <c r="A14" s="115">
        <v>5</v>
      </c>
      <c r="B14" s="113">
        <f t="shared" si="0"/>
        <v>191.33</v>
      </c>
      <c r="C14" s="113">
        <f t="shared" si="1"/>
        <v>209.33</v>
      </c>
      <c r="D14" s="117"/>
      <c r="E14" s="117"/>
      <c r="F14" s="116">
        <f t="shared" si="2"/>
        <v>2</v>
      </c>
      <c r="G14" s="116">
        <f t="shared" si="3"/>
        <v>25</v>
      </c>
      <c r="H14" s="116">
        <f t="shared" si="4"/>
        <v>15</v>
      </c>
      <c r="I14" s="117"/>
      <c r="J14" s="117"/>
      <c r="K14" s="116">
        <f t="shared" si="5"/>
        <v>209.33</v>
      </c>
    </row>
    <row r="15" spans="1:11" ht="15" customHeight="1" x14ac:dyDescent="0.15">
      <c r="A15" s="115">
        <v>4</v>
      </c>
      <c r="B15" s="116">
        <f t="shared" si="0"/>
        <v>153.06</v>
      </c>
      <c r="C15" s="116">
        <f t="shared" si="1"/>
        <v>167.46</v>
      </c>
      <c r="D15" s="117"/>
      <c r="E15" s="117"/>
      <c r="F15" s="116">
        <f t="shared" si="2"/>
        <v>1.6</v>
      </c>
      <c r="G15" s="116">
        <f t="shared" si="3"/>
        <v>20</v>
      </c>
      <c r="H15" s="116">
        <f t="shared" si="4"/>
        <v>12</v>
      </c>
      <c r="I15" s="117"/>
      <c r="J15" s="117"/>
      <c r="K15" s="116">
        <f t="shared" si="5"/>
        <v>167.46</v>
      </c>
    </row>
    <row r="16" spans="1:11" ht="15" customHeight="1" x14ac:dyDescent="0.15">
      <c r="A16" s="115">
        <v>3</v>
      </c>
      <c r="B16" s="113">
        <f t="shared" si="0"/>
        <v>114.8</v>
      </c>
      <c r="C16" s="116">
        <f t="shared" si="1"/>
        <v>125.6</v>
      </c>
      <c r="D16" s="117"/>
      <c r="E16" s="117"/>
      <c r="F16" s="116">
        <f t="shared" si="2"/>
        <v>1.2</v>
      </c>
      <c r="G16" s="116">
        <f t="shared" si="3"/>
        <v>15</v>
      </c>
      <c r="H16" s="116">
        <f t="shared" si="4"/>
        <v>9</v>
      </c>
      <c r="I16" s="117"/>
      <c r="J16" s="117"/>
      <c r="K16" s="116">
        <f t="shared" si="5"/>
        <v>125.6</v>
      </c>
    </row>
    <row r="17" spans="1:11" ht="15" customHeight="1" x14ac:dyDescent="0.15">
      <c r="A17" s="115">
        <v>2.5</v>
      </c>
      <c r="B17" s="113">
        <f t="shared" si="0"/>
        <v>95.67</v>
      </c>
      <c r="C17" s="116">
        <f t="shared" si="1"/>
        <v>104.67</v>
      </c>
      <c r="D17" s="117"/>
      <c r="E17" s="117"/>
      <c r="F17" s="116">
        <f t="shared" si="2"/>
        <v>1</v>
      </c>
      <c r="G17" s="116">
        <f t="shared" si="3"/>
        <v>12.5</v>
      </c>
      <c r="H17" s="116">
        <f t="shared" si="4"/>
        <v>7.5</v>
      </c>
      <c r="I17" s="117"/>
      <c r="J17" s="117"/>
      <c r="K17" s="116">
        <f t="shared" si="5"/>
        <v>104.67</v>
      </c>
    </row>
    <row r="18" spans="1:11" ht="15" customHeight="1" x14ac:dyDescent="0.15">
      <c r="A18" s="115">
        <v>2</v>
      </c>
      <c r="B18" s="116">
        <f>ROUND(B7*104.29/251,2)</f>
        <v>79.5</v>
      </c>
      <c r="C18" s="116">
        <f>ROUND(C7*104.29/251,2)</f>
        <v>86.98</v>
      </c>
      <c r="D18" s="117"/>
      <c r="E18" s="117"/>
      <c r="F18" s="116">
        <f>ROUND(F7*104.29/251,2)</f>
        <v>0.83</v>
      </c>
      <c r="G18" s="116">
        <f>ROUND(G7*104.29/251,2)</f>
        <v>10.39</v>
      </c>
      <c r="H18" s="116">
        <f>ROUND(H7*104.29/251,2)</f>
        <v>6.23</v>
      </c>
      <c r="I18" s="117"/>
      <c r="J18" s="117"/>
      <c r="K18" s="116">
        <f>ROUND(K7*104.29/251,2)</f>
        <v>86.98</v>
      </c>
    </row>
    <row r="19" spans="1:11" ht="15" customHeight="1" x14ac:dyDescent="0.15">
      <c r="A19" s="115">
        <v>1</v>
      </c>
      <c r="B19" s="113">
        <f>ROUND(B7*52.14/251,2)</f>
        <v>39.74</v>
      </c>
      <c r="C19" s="113">
        <f>ROUND(C7*52.14/251,2)</f>
        <v>43.48</v>
      </c>
      <c r="D19" s="117"/>
      <c r="E19" s="117"/>
      <c r="F19" s="116">
        <f>ROUND(F7*52.14/251,2)</f>
        <v>0.42</v>
      </c>
      <c r="G19" s="116">
        <f>ROUND(G7*52.14/251,2)</f>
        <v>5.19</v>
      </c>
      <c r="H19" s="116">
        <f>ROUND(H7*52.14/251,2)</f>
        <v>3.12</v>
      </c>
      <c r="I19" s="117"/>
      <c r="J19" s="117"/>
      <c r="K19" s="116">
        <f>ROUND(K7*52.14/251,2)</f>
        <v>43.48</v>
      </c>
    </row>
    <row r="20" spans="1:11" ht="15" customHeight="1" x14ac:dyDescent="0.15">
      <c r="A20" s="115">
        <v>0.5</v>
      </c>
      <c r="B20" s="116">
        <f>ROUND(B7*26.07/251,2)</f>
        <v>19.87</v>
      </c>
      <c r="C20" s="116">
        <f>ROUND(C7*26.07/251,2)</f>
        <v>21.74</v>
      </c>
      <c r="D20" s="117"/>
      <c r="E20" s="117"/>
      <c r="F20" s="116">
        <f>ROUND(F7*26.07/251,2)</f>
        <v>0.21</v>
      </c>
      <c r="G20" s="116">
        <f>ROUND(G7*26.07/251,2)</f>
        <v>2.6</v>
      </c>
      <c r="H20" s="116">
        <f>ROUND(H7*26.07/251,2)</f>
        <v>1.56</v>
      </c>
      <c r="I20" s="117"/>
      <c r="J20" s="117"/>
      <c r="K20" s="116">
        <f>ROUND(K7*26.07/251,2)</f>
        <v>21.74</v>
      </c>
    </row>
    <row r="21" spans="1:11" ht="15" customHeight="1" x14ac:dyDescent="0.15">
      <c r="A21" s="115" t="s">
        <v>136</v>
      </c>
      <c r="B21" s="118">
        <f t="shared" ref="B21:K21" si="6">ROUND(11*2,2)</f>
        <v>22</v>
      </c>
      <c r="C21" s="118">
        <f t="shared" si="6"/>
        <v>22</v>
      </c>
      <c r="D21" s="118">
        <f t="shared" si="6"/>
        <v>22</v>
      </c>
      <c r="E21" s="118">
        <f t="shared" si="6"/>
        <v>22</v>
      </c>
      <c r="F21" s="118">
        <f t="shared" si="6"/>
        <v>22</v>
      </c>
      <c r="G21" s="118">
        <f t="shared" si="6"/>
        <v>22</v>
      </c>
      <c r="H21" s="118">
        <f t="shared" si="6"/>
        <v>22</v>
      </c>
      <c r="I21" s="118">
        <f t="shared" si="6"/>
        <v>22</v>
      </c>
      <c r="J21" s="118">
        <f t="shared" si="6"/>
        <v>22</v>
      </c>
      <c r="K21" s="119">
        <f t="shared" si="6"/>
        <v>22</v>
      </c>
    </row>
    <row r="22" spans="1:11" ht="15" customHeight="1" x14ac:dyDescent="0.15">
      <c r="A22" s="115" t="s">
        <v>137</v>
      </c>
      <c r="B22" s="119">
        <f t="shared" ref="B22:K22" si="7">ROUND(11*1,2)</f>
        <v>11</v>
      </c>
      <c r="C22" s="119">
        <f t="shared" si="7"/>
        <v>11</v>
      </c>
      <c r="D22" s="118">
        <f t="shared" si="7"/>
        <v>11</v>
      </c>
      <c r="E22" s="118">
        <f t="shared" si="7"/>
        <v>11</v>
      </c>
      <c r="F22" s="118">
        <f t="shared" si="7"/>
        <v>11</v>
      </c>
      <c r="G22" s="118">
        <f t="shared" si="7"/>
        <v>11</v>
      </c>
      <c r="H22" s="118">
        <f t="shared" si="7"/>
        <v>11</v>
      </c>
      <c r="I22" s="118">
        <f t="shared" si="7"/>
        <v>11</v>
      </c>
      <c r="J22" s="118">
        <f t="shared" si="7"/>
        <v>11</v>
      </c>
      <c r="K22" s="118">
        <f t="shared" si="7"/>
        <v>11</v>
      </c>
    </row>
    <row r="23" spans="1:11" ht="15" customHeight="1" x14ac:dyDescent="0.15">
      <c r="A23" s="115" t="s">
        <v>138</v>
      </c>
      <c r="B23" s="116">
        <v>6</v>
      </c>
      <c r="C23" s="116">
        <v>6</v>
      </c>
      <c r="D23" s="116">
        <v>6</v>
      </c>
      <c r="E23" s="116">
        <v>6</v>
      </c>
      <c r="F23" s="116">
        <v>6</v>
      </c>
      <c r="G23" s="116">
        <v>6</v>
      </c>
      <c r="H23" s="116">
        <v>6</v>
      </c>
      <c r="I23" s="116">
        <v>6</v>
      </c>
      <c r="J23" s="116">
        <v>6</v>
      </c>
      <c r="K23" s="116">
        <v>6</v>
      </c>
    </row>
    <row r="24" spans="1:11" ht="15" customHeight="1" x14ac:dyDescent="0.15">
      <c r="A24" s="115" t="s">
        <v>139</v>
      </c>
      <c r="B24" s="116">
        <v>5</v>
      </c>
      <c r="C24" s="116">
        <v>5</v>
      </c>
      <c r="D24" s="116">
        <v>5</v>
      </c>
      <c r="E24" s="116">
        <v>5</v>
      </c>
      <c r="F24" s="116">
        <v>5</v>
      </c>
      <c r="G24" s="116">
        <v>5</v>
      </c>
      <c r="H24" s="116">
        <v>5</v>
      </c>
      <c r="I24" s="116">
        <v>5</v>
      </c>
      <c r="J24" s="116">
        <v>5</v>
      </c>
      <c r="K24" s="116">
        <v>5</v>
      </c>
    </row>
    <row r="25" spans="1:11" ht="15" customHeight="1" x14ac:dyDescent="0.15">
      <c r="A25" s="115" t="s">
        <v>140</v>
      </c>
      <c r="B25" s="116">
        <v>4</v>
      </c>
      <c r="C25" s="116">
        <v>4</v>
      </c>
      <c r="D25" s="116">
        <v>4</v>
      </c>
      <c r="E25" s="116">
        <v>4</v>
      </c>
      <c r="F25" s="116">
        <v>4</v>
      </c>
      <c r="G25" s="116">
        <v>4</v>
      </c>
      <c r="H25" s="116">
        <v>4</v>
      </c>
      <c r="I25" s="116">
        <v>4</v>
      </c>
      <c r="J25" s="116">
        <v>4</v>
      </c>
      <c r="K25" s="116">
        <v>4</v>
      </c>
    </row>
    <row r="26" spans="1:11" ht="15" customHeight="1" x14ac:dyDescent="0.15">
      <c r="A26" s="115" t="s">
        <v>141</v>
      </c>
      <c r="B26" s="116">
        <v>3</v>
      </c>
      <c r="C26" s="116">
        <v>3</v>
      </c>
      <c r="D26" s="116">
        <v>3</v>
      </c>
      <c r="E26" s="116">
        <v>3</v>
      </c>
      <c r="F26" s="116">
        <v>3</v>
      </c>
      <c r="G26" s="116">
        <v>3</v>
      </c>
      <c r="H26" s="116">
        <v>3</v>
      </c>
      <c r="I26" s="116">
        <v>3</v>
      </c>
      <c r="J26" s="116">
        <v>3</v>
      </c>
      <c r="K26" s="116">
        <v>3</v>
      </c>
    </row>
    <row r="27" spans="1:11" ht="15" customHeight="1" x14ac:dyDescent="0.15">
      <c r="A27" s="115" t="s">
        <v>142</v>
      </c>
      <c r="B27" s="116">
        <v>2</v>
      </c>
      <c r="C27" s="116">
        <v>2</v>
      </c>
      <c r="D27" s="116">
        <v>2</v>
      </c>
      <c r="E27" s="116">
        <v>2</v>
      </c>
      <c r="F27" s="116">
        <v>2</v>
      </c>
      <c r="G27" s="116">
        <v>2</v>
      </c>
      <c r="H27" s="116">
        <v>2</v>
      </c>
      <c r="I27" s="116">
        <v>2</v>
      </c>
      <c r="J27" s="116">
        <v>2</v>
      </c>
      <c r="K27" s="116">
        <v>2</v>
      </c>
    </row>
    <row r="28" spans="1:11" ht="15" customHeight="1" x14ac:dyDescent="0.15">
      <c r="A28" s="115" t="s">
        <v>143</v>
      </c>
      <c r="B28" s="113">
        <v>1</v>
      </c>
      <c r="C28" s="116">
        <v>1</v>
      </c>
      <c r="D28" s="113">
        <v>1</v>
      </c>
      <c r="E28" s="113">
        <v>1</v>
      </c>
      <c r="F28" s="116">
        <v>1</v>
      </c>
      <c r="G28" s="116">
        <v>1</v>
      </c>
      <c r="H28" s="116">
        <v>1</v>
      </c>
      <c r="I28" s="116">
        <v>1</v>
      </c>
      <c r="J28" s="116">
        <v>1</v>
      </c>
      <c r="K28" s="116">
        <v>1</v>
      </c>
    </row>
    <row r="29" spans="1:11" ht="15" customHeight="1" x14ac:dyDescent="0.15">
      <c r="A29" s="113" t="s">
        <v>144</v>
      </c>
      <c r="B29" s="116">
        <v>0.5</v>
      </c>
      <c r="C29" s="116">
        <v>0.5</v>
      </c>
      <c r="D29" s="116">
        <v>0.5</v>
      </c>
      <c r="E29" s="116">
        <v>0.5</v>
      </c>
      <c r="F29" s="116">
        <v>0.5</v>
      </c>
      <c r="G29" s="116">
        <v>0.5</v>
      </c>
      <c r="H29" s="116">
        <v>0.5</v>
      </c>
      <c r="I29" s="116">
        <v>0.5</v>
      </c>
      <c r="J29" s="116">
        <v>0.5</v>
      </c>
      <c r="K29" s="116">
        <v>0.5</v>
      </c>
    </row>
    <row r="30" spans="1:11" ht="15" customHeight="1" x14ac:dyDescent="0.15">
      <c r="A30" s="113">
        <v>0</v>
      </c>
      <c r="B30" s="113">
        <v>0</v>
      </c>
      <c r="C30" s="113">
        <v>0</v>
      </c>
      <c r="D30" s="120"/>
      <c r="E30" s="120"/>
      <c r="F30" s="113">
        <v>0</v>
      </c>
      <c r="G30" s="113">
        <v>0</v>
      </c>
      <c r="H30" s="116">
        <v>0</v>
      </c>
      <c r="I30" s="120"/>
      <c r="J30" s="117"/>
      <c r="K30" s="116">
        <v>0</v>
      </c>
    </row>
    <row r="31" spans="1:11" ht="15" customHeight="1" x14ac:dyDescent="0.15">
      <c r="A31" s="113" t="s">
        <v>146</v>
      </c>
      <c r="B31" s="117"/>
      <c r="C31" s="117"/>
      <c r="D31" s="117"/>
      <c r="E31" s="117"/>
      <c r="F31" s="113">
        <f>F7</f>
        <v>2</v>
      </c>
      <c r="G31" s="113">
        <f>G7</f>
        <v>25</v>
      </c>
      <c r="H31" s="113">
        <f>H7</f>
        <v>15</v>
      </c>
      <c r="I31" s="113">
        <f>I7</f>
        <v>1</v>
      </c>
      <c r="J31" s="113">
        <f>J7</f>
        <v>1</v>
      </c>
      <c r="K31" s="117"/>
    </row>
  </sheetData>
  <sheetProtection algorithmName="SHA-512" hashValue="sy8SyE5C1vGMtHA8GkIh+VCx3UxAswzHyJayXH/Vjrs/mwIR72A7WL3fUgCwBqu4skLQ+yQ5aB84ukNy6Jb/Lg==" saltValue="3mJ1Jne853POq3qx9pFalA=="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&amp;N&amp;RReinigungstage</oddFooter>
  </headerFooter>
  <rowBreaks count="1" manualBreakCount="1">
    <brk id="31"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J9"/>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7" width="14.28515625" style="3" customWidth="1"/>
    <col min="8" max="10" width="16.7109375" style="3" customWidth="1"/>
    <col min="11" max="16384" width="11.42578125" style="3"/>
  </cols>
  <sheetData>
    <row r="1" spans="1:10" ht="29.1" customHeight="1" x14ac:dyDescent="0.2">
      <c r="A1" s="3" t="s">
        <v>180</v>
      </c>
      <c r="D1" s="19"/>
      <c r="E1" s="5" t="s">
        <v>100</v>
      </c>
      <c r="F1" s="5"/>
      <c r="G1" s="13"/>
    </row>
    <row r="2" spans="1:10" ht="24" customHeight="1" x14ac:dyDescent="0.2">
      <c r="B2" s="21" t="b">
        <v>0</v>
      </c>
      <c r="C2" s="140" t="str">
        <f>IF(B2=TRUE,"Hier muss nichts ausgefüllt werden. Füllen Sie zunächst in den folgenden Tabellen die gelben Zellen aus. Kehren Sie dann zu dieser Tabelle zurück.","")</f>
        <v/>
      </c>
      <c r="D2" s="140"/>
      <c r="E2" s="140"/>
      <c r="F2" s="140"/>
      <c r="G2" s="140"/>
    </row>
    <row r="3" spans="1:10" ht="24" customHeight="1" x14ac:dyDescent="0.2">
      <c r="A3" s="22" t="s">
        <v>103</v>
      </c>
      <c r="B3" s="23" t="str">
        <f>IF(Inhaltsverzeichnis!$C$3="", "",Inhaltsverzeichnis!$C$3)</f>
        <v/>
      </c>
      <c r="C3" s="4"/>
      <c r="D3" s="4"/>
    </row>
    <row r="4" spans="1:10" s="18" customFormat="1" ht="29.1" customHeight="1" x14ac:dyDescent="0.2">
      <c r="A4" s="138" t="s">
        <v>320</v>
      </c>
      <c r="B4" s="139"/>
      <c r="C4" s="1" t="s">
        <v>308</v>
      </c>
      <c r="D4" s="1" t="s">
        <v>310</v>
      </c>
      <c r="E4" s="1" t="s">
        <v>313</v>
      </c>
      <c r="F4" s="1" t="s">
        <v>327</v>
      </c>
      <c r="G4" s="1" t="s">
        <v>319</v>
      </c>
      <c r="H4" s="134" t="s">
        <v>323</v>
      </c>
      <c r="I4" s="134"/>
      <c r="J4" s="134"/>
    </row>
    <row r="5" spans="1:10" s="18" customFormat="1" ht="29.1" customHeight="1" x14ac:dyDescent="0.2">
      <c r="A5" s="1" t="s">
        <v>96</v>
      </c>
      <c r="B5" s="1" t="s">
        <v>174</v>
      </c>
      <c r="C5" s="1" t="s">
        <v>149</v>
      </c>
      <c r="D5" s="1" t="s">
        <v>149</v>
      </c>
      <c r="E5" s="1" t="s">
        <v>149</v>
      </c>
      <c r="F5" s="1" t="s">
        <v>149</v>
      </c>
      <c r="G5" s="1" t="s">
        <v>149</v>
      </c>
      <c r="H5" s="1" t="s">
        <v>149</v>
      </c>
      <c r="I5" s="1" t="s">
        <v>322</v>
      </c>
      <c r="J5" s="1" t="s">
        <v>150</v>
      </c>
    </row>
    <row r="6" spans="1:10" ht="15" customHeight="1" x14ac:dyDescent="0.2">
      <c r="A6" s="12" t="s">
        <v>200</v>
      </c>
      <c r="B6" s="44">
        <v>3</v>
      </c>
      <c r="C6" s="43">
        <f ca="1">'Kal Unter GS Pannwitz'!Q21</f>
        <v>0</v>
      </c>
      <c r="D6" s="43">
        <f>'Kal Grund GS Pannwitz'!Q21</f>
        <v>0</v>
      </c>
      <c r="E6" s="45"/>
      <c r="F6" s="45"/>
      <c r="G6" s="43">
        <f>SUMIF('Kal Verbrauch Gesamt'!$B$5:$B23,$A$6,'Kal Verbrauch Gesamt'!$G$5:$G23)</f>
        <v>0</v>
      </c>
      <c r="H6" s="43">
        <f ca="1">SUM(C6:G6)</f>
        <v>0</v>
      </c>
      <c r="I6" s="43">
        <f ca="1">J6-H6</f>
        <v>0</v>
      </c>
      <c r="J6" s="43">
        <f ca="1">ROUND(H6*1.19,2)</f>
        <v>0</v>
      </c>
    </row>
    <row r="7" spans="1:10" ht="15" customHeight="1" x14ac:dyDescent="0.2">
      <c r="A7" s="12" t="s">
        <v>207</v>
      </c>
      <c r="B7" s="44">
        <v>3</v>
      </c>
      <c r="C7" s="43">
        <f ca="1">'Kal Unter SH Pannwitz'!Q21</f>
        <v>0</v>
      </c>
      <c r="D7" s="43">
        <f>'Kal Grund SH Pannwitz'!Q21</f>
        <v>0</v>
      </c>
      <c r="E7" s="43">
        <f>SUMIF('Kal Matten Gesamt'!$B$6:$B6,$A$7,'Kal Matten Gesamt'!$K$6:$K6)</f>
        <v>0</v>
      </c>
      <c r="F7" s="43">
        <f>'Kal Ballw u Harzentfernung'!$E$5</f>
        <v>0</v>
      </c>
      <c r="G7" s="43">
        <f>SUMIF('Kal Verbrauch Gesamt'!$B$5:$B23,$A$7,'Kal Verbrauch Gesamt'!$G$5:$G23)</f>
        <v>0</v>
      </c>
      <c r="H7" s="43">
        <f ca="1">SUM(C7:G7)</f>
        <v>0</v>
      </c>
      <c r="I7" s="43">
        <f ca="1">J7-H7</f>
        <v>0</v>
      </c>
      <c r="J7" s="43">
        <f ca="1">ROUND(H7*1.19,2)</f>
        <v>0</v>
      </c>
    </row>
    <row r="8" spans="1:10" ht="15" customHeight="1" x14ac:dyDescent="0.2">
      <c r="A8" s="12" t="s">
        <v>210</v>
      </c>
      <c r="B8" s="44">
        <v>3</v>
      </c>
      <c r="C8" s="45"/>
      <c r="D8" s="45"/>
      <c r="E8" s="45"/>
      <c r="F8" s="45"/>
      <c r="G8" s="43">
        <f>SUMIF('Kal Verbrauch Gesamt'!$B$5:$B23,$A$8,'Kal Verbrauch Gesamt'!$G$5:$G23)</f>
        <v>0</v>
      </c>
      <c r="H8" s="43">
        <f>SUM(C8:G8)</f>
        <v>0</v>
      </c>
      <c r="I8" s="43">
        <f>J8-H8</f>
        <v>0</v>
      </c>
      <c r="J8" s="43">
        <f>ROUND(H8*1.19,2)</f>
        <v>0</v>
      </c>
    </row>
    <row r="9" spans="1:10" ht="15" customHeight="1" x14ac:dyDescent="0.2">
      <c r="A9" s="135" t="s">
        <v>324</v>
      </c>
      <c r="B9" s="136"/>
      <c r="C9" s="137"/>
      <c r="D9" s="137"/>
      <c r="E9" s="137"/>
      <c r="F9" s="137"/>
      <c r="G9" s="137"/>
      <c r="H9" s="43">
        <f ca="1">ROUND(SUM(H6:H8),2)</f>
        <v>0</v>
      </c>
      <c r="I9" s="43">
        <f ca="1">ROUND(SUM(I6:I8),2)</f>
        <v>0</v>
      </c>
      <c r="J9" s="43">
        <f ca="1">ROUND(SUM(J6:J8),2)</f>
        <v>0</v>
      </c>
    </row>
  </sheetData>
  <sheetProtection algorithmName="SHA-512" hashValue="spIaiiVqlqNxSfBhvyrwZs8a/Q+bCYb2uMtekOYvlH465AZO3rdF52xywpamf9ImJ2E8GQFcIgly3DPAAHCsWw==" saltValue="NzvUPiAbFUVJtkQ2/BLHUQ==" spinCount="100000" sheet="1" objects="1" scenarios="1"/>
  <mergeCells count="4">
    <mergeCell ref="H4:J4"/>
    <mergeCell ref="A9:G9"/>
    <mergeCell ref="A4:B4"/>
    <mergeCell ref="C2:G2"/>
  </mergeCells>
  <phoneticPr fontId="3" type="noConversion"/>
  <hyperlinks>
    <hyperlink ref="E1" location="'Inhaltsverzeichnis'!$A$1" display="Zurück zum Inhaltsverzeichnis" xr:uid="{E47FC31D-B962-4447-8C20-0BB1A0A5061E}"/>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&amp;N&amp;RPreisübersicht</oddFooter>
  </headerFooter>
  <rowBreaks count="1" manualBreakCount="1">
    <brk id="9" max="16383" man="1"/>
  </rowBreaks>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indexed="58"/>
  </sheetPr>
  <dimension ref="A1:L8"/>
  <sheetViews>
    <sheetView showGridLines="0" zoomScaleNormal="100" workbookViewId="0"/>
  </sheetViews>
  <sheetFormatPr baseColWidth="10" defaultColWidth="11.42578125" defaultRowHeight="15" customHeight="1" x14ac:dyDescent="0.2"/>
  <cols>
    <col min="1" max="1" width="25.7109375" style="3" customWidth="1"/>
    <col min="2" max="2" width="16.7109375" style="3" customWidth="1"/>
    <col min="3" max="5" width="14.28515625" style="3" customWidth="1"/>
    <col min="6" max="8" width="16.7109375" style="3" customWidth="1"/>
    <col min="9" max="16384" width="11.42578125" style="3"/>
  </cols>
  <sheetData>
    <row r="1" spans="1:12" ht="29.1" customHeight="1" x14ac:dyDescent="0.2">
      <c r="A1" s="3" t="s">
        <v>179</v>
      </c>
      <c r="F1" s="5" t="s">
        <v>100</v>
      </c>
      <c r="G1" s="19"/>
      <c r="H1" s="19"/>
      <c r="L1" s="4"/>
    </row>
    <row r="2" spans="1:12" ht="23.45" customHeight="1" x14ac:dyDescent="0.2">
      <c r="B2" s="21" t="b">
        <v>0</v>
      </c>
      <c r="C2" s="140" t="str">
        <f>IF(B2=TRUE,"Hier muss nichts ausgefüllt werden. Füllen Sie zunächst in den folgenden Tabellen die gelben Zellen aus. Kehren Sie dann zu dieser Tabelle zurück.","")</f>
        <v/>
      </c>
      <c r="D2" s="140"/>
      <c r="E2" s="140"/>
      <c r="F2" s="140"/>
      <c r="G2" s="140"/>
      <c r="H2" s="140"/>
      <c r="I2" s="19"/>
    </row>
    <row r="3" spans="1:12" ht="23.45" customHeight="1" x14ac:dyDescent="0.2">
      <c r="A3" s="22" t="s">
        <v>103</v>
      </c>
      <c r="B3" s="23" t="str">
        <f>IF(Inhaltsverzeichnis!$C$3="", "",Inhaltsverzeichnis!$C$3)</f>
        <v/>
      </c>
    </row>
    <row r="4" spans="1:12" s="18" customFormat="1" ht="29.1" customHeight="1" x14ac:dyDescent="0.2">
      <c r="A4" s="141" t="s">
        <v>321</v>
      </c>
      <c r="B4" s="141"/>
      <c r="C4" s="141" t="s">
        <v>311</v>
      </c>
      <c r="D4" s="141"/>
      <c r="E4" s="141"/>
      <c r="F4" s="141" t="s">
        <v>312</v>
      </c>
      <c r="G4" s="141"/>
      <c r="H4" s="141"/>
    </row>
    <row r="5" spans="1:12" s="18" customFormat="1" ht="29.1" customHeight="1" x14ac:dyDescent="0.2">
      <c r="A5" s="46" t="s">
        <v>96</v>
      </c>
      <c r="B5" s="46" t="s">
        <v>174</v>
      </c>
      <c r="C5" s="46" t="s">
        <v>149</v>
      </c>
      <c r="D5" s="46" t="s">
        <v>322</v>
      </c>
      <c r="E5" s="46" t="s">
        <v>150</v>
      </c>
      <c r="F5" s="46" t="s">
        <v>149</v>
      </c>
      <c r="G5" s="46" t="s">
        <v>322</v>
      </c>
      <c r="H5" s="46" t="s">
        <v>150</v>
      </c>
    </row>
    <row r="6" spans="1:12" ht="15" customHeight="1" x14ac:dyDescent="0.2">
      <c r="A6" s="47" t="s">
        <v>200</v>
      </c>
      <c r="B6" s="49">
        <v>3</v>
      </c>
      <c r="C6" s="48">
        <f ca="1">'Kal Unter Bed GS Pannwitz'!Q21</f>
        <v>0</v>
      </c>
      <c r="D6" s="48">
        <f ca="1">E6-C6</f>
        <v>0</v>
      </c>
      <c r="E6" s="48">
        <f ca="1">ROUND($C$6*1.19,2)</f>
        <v>0</v>
      </c>
      <c r="F6" s="48">
        <f>'Kal Grund Bed GS Pannwitz'!Q21</f>
        <v>0</v>
      </c>
      <c r="G6" s="48">
        <f>H6-F6</f>
        <v>0</v>
      </c>
      <c r="H6" s="48">
        <f>ROUND($F$6*1.19,2)</f>
        <v>0</v>
      </c>
    </row>
    <row r="7" spans="1:12" ht="15" customHeight="1" x14ac:dyDescent="0.2">
      <c r="A7" s="47" t="s">
        <v>207</v>
      </c>
      <c r="B7" s="49">
        <v>3</v>
      </c>
      <c r="C7" s="48">
        <f ca="1">'Kal Unter Bed SH Pannwitz'!Q21</f>
        <v>0</v>
      </c>
      <c r="D7" s="48">
        <f ca="1">E7-C7</f>
        <v>0</v>
      </c>
      <c r="E7" s="48">
        <f ca="1">ROUND($C$7*1.19,2)</f>
        <v>0</v>
      </c>
      <c r="F7" s="50"/>
      <c r="G7" s="50"/>
      <c r="H7" s="50"/>
    </row>
    <row r="8" spans="1:12" ht="15" customHeight="1" x14ac:dyDescent="0.2">
      <c r="A8" s="47" t="s">
        <v>210</v>
      </c>
      <c r="B8" s="49">
        <v>3</v>
      </c>
      <c r="C8" s="48">
        <f ca="1">'Kal Unter Bed Sportplatz'!Q21</f>
        <v>0</v>
      </c>
      <c r="D8" s="48">
        <f ca="1">E8-C8</f>
        <v>0</v>
      </c>
      <c r="E8" s="48">
        <f ca="1">ROUND($C$8*1.19,2)</f>
        <v>0</v>
      </c>
      <c r="F8" s="48">
        <f>'Kal Grund Bed Sportplatz'!Q21</f>
        <v>0</v>
      </c>
      <c r="G8" s="48">
        <f>H8-F8</f>
        <v>0</v>
      </c>
      <c r="H8" s="48">
        <f>ROUND($F$8*1.19,2)</f>
        <v>0</v>
      </c>
    </row>
  </sheetData>
  <sheetProtection algorithmName="SHA-512" hashValue="/+jHNjJ4tMgpCd9FosNiLy5+xPoCl4Hjxa2mRX/hLQDnb6aoLljrNZiuEoPyrDMETYLgQFwLFwFdc6FfMscGsQ==" saltValue="H3zEmKDPMJttX60hrzcusA==" spinCount="100000" sheet="1" objects="1" scenarios="1"/>
  <mergeCells count="4">
    <mergeCell ref="A4:B4"/>
    <mergeCell ref="F4:H4"/>
    <mergeCell ref="C4:E4"/>
    <mergeCell ref="C2:H2"/>
  </mergeCells>
  <phoneticPr fontId="3" type="noConversion"/>
  <hyperlinks>
    <hyperlink ref="F1" location="'Inhaltsverzeichnis'!$A$1" display="Zurück zum Inhaltsverzeichnis" xr:uid="{B63BC8B1-1165-4B64-BA52-2E95FFF303C1}"/>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&amp;N&amp;RPreisübersicht (nach Bedarf)</oddFooter>
  </headerFooter>
  <rowBreaks count="1" manualBreakCount="1">
    <brk id="8"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Hinweis">
                <anchor moveWithCells="1">
                  <from>
                    <xdr:col>1</xdr:col>
                    <xdr:colOff>180975</xdr:colOff>
                    <xdr:row>1</xdr:row>
                    <xdr:rowOff>19050</xdr:rowOff>
                  </from>
                  <to>
                    <xdr:col>1</xdr:col>
                    <xdr:colOff>971550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76" t="str">
        <f ca="1">IF(H61&lt;&gt;"","","Bitte alle gelben Zellen ausfüllen.")</f>
        <v>Bitte alle gelben Zellen ausfüllen.</v>
      </c>
      <c r="D1" s="92" t="b">
        <v>0</v>
      </c>
      <c r="E1" s="132"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2"/>
      <c r="G1" s="132"/>
      <c r="H1" s="132"/>
      <c r="I1" s="132"/>
      <c r="K1" s="5" t="s">
        <v>100</v>
      </c>
    </row>
    <row r="2" spans="1:11" ht="33" customHeight="1" x14ac:dyDescent="0.2">
      <c r="A2" s="3" t="s">
        <v>103</v>
      </c>
      <c r="C2" s="3" t="str">
        <f>IF(Inhaltsverzeichnis!$C$3="", "",Inhaltsverzeichnis!$C$3)</f>
        <v/>
      </c>
      <c r="D2" s="21" t="b">
        <v>0</v>
      </c>
      <c r="E2" s="132"/>
      <c r="F2" s="132"/>
      <c r="G2" s="132"/>
      <c r="H2" s="132"/>
      <c r="I2" s="132"/>
    </row>
    <row r="3" spans="1:11" s="2" customFormat="1" ht="12.75" x14ac:dyDescent="0.2">
      <c r="A3" s="150" t="s">
        <v>102</v>
      </c>
      <c r="B3" s="150"/>
      <c r="C3" s="150"/>
      <c r="D3" s="150"/>
      <c r="E3" s="150"/>
      <c r="F3" s="150"/>
      <c r="G3" s="150"/>
      <c r="H3" s="150"/>
      <c r="I3" s="150"/>
    </row>
    <row r="4" spans="1:11" x14ac:dyDescent="0.2">
      <c r="A4" s="77"/>
      <c r="B4" s="77"/>
      <c r="C4" s="77"/>
      <c r="D4" s="77"/>
      <c r="E4" s="77"/>
      <c r="F4" s="77"/>
      <c r="G4" s="77"/>
      <c r="H4" s="77"/>
      <c r="I4" s="77"/>
    </row>
    <row r="5" spans="1:11" ht="15" customHeight="1" x14ac:dyDescent="0.2">
      <c r="A5" s="78" t="s">
        <v>1</v>
      </c>
      <c r="B5" s="78" t="s">
        <v>2</v>
      </c>
      <c r="C5" s="78"/>
      <c r="D5" s="78"/>
      <c r="E5" s="78"/>
      <c r="F5" s="79">
        <v>100</v>
      </c>
      <c r="G5" s="78" t="s">
        <v>3</v>
      </c>
      <c r="H5" s="7">
        <v>15</v>
      </c>
      <c r="I5" s="78" t="s">
        <v>4</v>
      </c>
      <c r="K5" s="80"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77"/>
      <c r="B6" s="77"/>
      <c r="C6" s="77"/>
      <c r="D6" s="77"/>
      <c r="E6" s="77"/>
      <c r="F6" s="81"/>
      <c r="G6" s="77"/>
      <c r="H6" s="81"/>
      <c r="I6" s="77"/>
    </row>
    <row r="7" spans="1:11" x14ac:dyDescent="0.2">
      <c r="A7" s="78" t="s">
        <v>5</v>
      </c>
      <c r="B7" s="78" t="s">
        <v>6</v>
      </c>
      <c r="C7" s="78"/>
      <c r="D7" s="78"/>
      <c r="E7" s="78"/>
      <c r="F7" s="82"/>
      <c r="G7" s="78"/>
      <c r="H7" s="82"/>
      <c r="I7" s="78"/>
    </row>
    <row r="8" spans="1:11" ht="14.25" x14ac:dyDescent="0.2">
      <c r="A8" s="77" t="s">
        <v>7</v>
      </c>
      <c r="B8" s="77" t="s">
        <v>8</v>
      </c>
      <c r="C8" s="77"/>
      <c r="D8" s="77"/>
      <c r="E8" s="77"/>
      <c r="F8" s="82"/>
      <c r="G8" s="82"/>
      <c r="H8" s="82"/>
      <c r="I8" s="82"/>
      <c r="K8" s="83"/>
    </row>
    <row r="9" spans="1:11" x14ac:dyDescent="0.2">
      <c r="A9" s="77" t="s">
        <v>9</v>
      </c>
      <c r="B9" s="77"/>
      <c r="C9" s="77" t="s">
        <v>10</v>
      </c>
      <c r="D9" s="77"/>
      <c r="E9" s="77"/>
      <c r="F9" s="8"/>
      <c r="G9" s="77" t="s">
        <v>3</v>
      </c>
      <c r="H9" s="84" t="str">
        <f>IF(F9="","",ROUND(F9/100*$H$5,2))</f>
        <v/>
      </c>
      <c r="I9" s="77" t="s">
        <v>4</v>
      </c>
      <c r="K9" s="80" t="str">
        <f>IF(F9="","Bitte ausfüllen!","")</f>
        <v>Bitte ausfüllen!</v>
      </c>
    </row>
    <row r="10" spans="1:11" x14ac:dyDescent="0.2">
      <c r="A10" s="77" t="s">
        <v>11</v>
      </c>
      <c r="B10" s="77"/>
      <c r="C10" s="77" t="s">
        <v>12</v>
      </c>
      <c r="D10" s="77"/>
      <c r="E10" s="77"/>
      <c r="F10" s="8"/>
      <c r="G10" s="77" t="s">
        <v>3</v>
      </c>
      <c r="H10" s="84" t="str">
        <f>IF(F10="","",ROUND(F10/100*$H$5,2))</f>
        <v/>
      </c>
      <c r="I10" s="77" t="s">
        <v>4</v>
      </c>
      <c r="K10" s="80" t="str">
        <f>IF(F10="","Bitte ausfüllen!","")</f>
        <v>Bitte ausfüllen!</v>
      </c>
    </row>
    <row r="11" spans="1:11" x14ac:dyDescent="0.2">
      <c r="A11" s="77" t="s">
        <v>13</v>
      </c>
      <c r="B11" s="77"/>
      <c r="C11" s="77" t="s">
        <v>14</v>
      </c>
      <c r="D11" s="77"/>
      <c r="E11" s="77"/>
      <c r="F11" s="8"/>
      <c r="G11" s="77" t="s">
        <v>3</v>
      </c>
      <c r="H11" s="84" t="str">
        <f>IF(F11="","",ROUND(F11/100*$H$5,2))</f>
        <v/>
      </c>
      <c r="I11" s="77" t="s">
        <v>4</v>
      </c>
      <c r="K11" s="80" t="str">
        <f>IF(F11="","Bitte ausfüllen!","")</f>
        <v>Bitte ausfüllen!</v>
      </c>
    </row>
    <row r="12" spans="1:11" x14ac:dyDescent="0.2">
      <c r="A12" s="77" t="s">
        <v>15</v>
      </c>
      <c r="B12" s="77"/>
      <c r="C12" s="77" t="s">
        <v>16</v>
      </c>
      <c r="D12" s="77"/>
      <c r="E12" s="77"/>
      <c r="F12" s="8"/>
      <c r="G12" s="77" t="s">
        <v>3</v>
      </c>
      <c r="H12" s="84" t="str">
        <f>IF(F12="","",ROUND(F12/100*$H$5,2))</f>
        <v/>
      </c>
      <c r="I12" s="77" t="s">
        <v>4</v>
      </c>
      <c r="K12" s="80" t="str">
        <f>IF(F12="","Bitte ausfüllen!","")</f>
        <v>Bitte ausfüllen!</v>
      </c>
    </row>
    <row r="13" spans="1:11" x14ac:dyDescent="0.2">
      <c r="A13" s="77" t="s">
        <v>17</v>
      </c>
      <c r="B13" s="77"/>
      <c r="C13" s="77" t="s">
        <v>18</v>
      </c>
      <c r="D13" s="77"/>
      <c r="E13" s="77"/>
      <c r="F13" s="8"/>
      <c r="G13" s="77" t="s">
        <v>3</v>
      </c>
      <c r="H13" s="84" t="str">
        <f>IF(F13="","",ROUND(F13/100*$H$5,2))</f>
        <v/>
      </c>
      <c r="I13" s="77" t="s">
        <v>4</v>
      </c>
      <c r="K13" s="80" t="str">
        <f>IF(F13="","Bitte ausfüllen!","")</f>
        <v>Bitte ausfüllen!</v>
      </c>
    </row>
    <row r="14" spans="1:11" x14ac:dyDescent="0.2">
      <c r="A14" s="78"/>
      <c r="B14" s="78" t="s">
        <v>19</v>
      </c>
      <c r="C14" s="78"/>
      <c r="D14" s="78"/>
      <c r="E14" s="78"/>
      <c r="F14" s="85">
        <f>IF(SUM(F9:F13)=0,0,SUM(F9:F13))</f>
        <v>0</v>
      </c>
      <c r="G14" s="78" t="s">
        <v>3</v>
      </c>
      <c r="H14" s="86" t="str">
        <f>IF(COUNTIF(F9:F13,"")&gt;0,"",SUM(H8:H13))</f>
        <v/>
      </c>
      <c r="I14" s="78" t="s">
        <v>4</v>
      </c>
      <c r="K14" s="80" t="str">
        <f>IF(H14="","Angaben offen!","")</f>
        <v>Angaben offen!</v>
      </c>
    </row>
    <row r="15" spans="1:11" x14ac:dyDescent="0.2">
      <c r="A15" s="77"/>
      <c r="B15" s="77"/>
      <c r="C15" s="77"/>
      <c r="D15" s="77"/>
      <c r="E15" s="77"/>
      <c r="F15" s="81"/>
      <c r="G15" s="77"/>
      <c r="H15" s="81"/>
      <c r="I15" s="77"/>
    </row>
    <row r="16" spans="1:11" x14ac:dyDescent="0.2">
      <c r="A16" s="78" t="s">
        <v>20</v>
      </c>
      <c r="B16" s="78" t="s">
        <v>21</v>
      </c>
      <c r="C16" s="78"/>
      <c r="D16" s="78"/>
      <c r="E16" s="78"/>
      <c r="F16" s="82"/>
      <c r="G16" s="78"/>
      <c r="H16" s="82"/>
      <c r="I16" s="78"/>
    </row>
    <row r="17" spans="1:11" ht="11.25" customHeight="1" x14ac:dyDescent="0.2">
      <c r="A17" s="77" t="s">
        <v>22</v>
      </c>
      <c r="B17" s="77" t="s">
        <v>121</v>
      </c>
      <c r="C17" s="77"/>
      <c r="D17" s="8">
        <f>D73+D77</f>
        <v>8.75</v>
      </c>
      <c r="E17" s="77" t="s">
        <v>3</v>
      </c>
      <c r="F17" s="81"/>
      <c r="G17" s="77"/>
      <c r="H17" s="81"/>
      <c r="I17" s="77"/>
      <c r="K17" s="80" t="str">
        <f ca="1">IF(D17&lt;(D73+D77),"Wert prüfen!",IF(H61="","Inhalt der gelben Zellen kann angepasst werden.",""))</f>
        <v>Inhalt der gelben Zellen kann angepasst werden.</v>
      </c>
    </row>
    <row r="18" spans="1:11" x14ac:dyDescent="0.2">
      <c r="A18" s="77"/>
      <c r="B18" s="77" t="s">
        <v>23</v>
      </c>
      <c r="C18" s="77"/>
      <c r="D18" s="87">
        <f>(D17/100)*$F$14</f>
        <v>0</v>
      </c>
      <c r="E18" s="77" t="s">
        <v>3</v>
      </c>
      <c r="F18" s="88">
        <f>IF(D18="","",D17+D18)</f>
        <v>8.75</v>
      </c>
      <c r="G18" s="77" t="s">
        <v>3</v>
      </c>
      <c r="H18" s="84">
        <f>IF(D18="","",ROUND(F18/100*$H$5,2))</f>
        <v>1.31</v>
      </c>
      <c r="I18" s="77" t="s">
        <v>4</v>
      </c>
      <c r="K18" s="80"/>
    </row>
    <row r="19" spans="1:11" ht="11.25" x14ac:dyDescent="0.2">
      <c r="A19" s="77" t="s">
        <v>24</v>
      </c>
      <c r="B19" s="77" t="s">
        <v>122</v>
      </c>
      <c r="C19" s="77"/>
      <c r="D19" s="8">
        <f>D74</f>
        <v>9.3000000000000007</v>
      </c>
      <c r="E19" s="77" t="s">
        <v>3</v>
      </c>
      <c r="F19" s="89"/>
      <c r="G19" s="77"/>
      <c r="H19" s="81"/>
      <c r="I19" s="77"/>
      <c r="K19" s="80" t="str">
        <f ca="1">IF(D19&lt;&gt;D74,"Wert prüfen!",IF(H61="","Inhalt der gelben Zellen kann angepasst werden.",""))</f>
        <v>Inhalt der gelben Zellen kann angepasst werden.</v>
      </c>
    </row>
    <row r="20" spans="1:11" ht="11.25" customHeight="1" x14ac:dyDescent="0.2">
      <c r="A20" s="77"/>
      <c r="B20" s="77" t="s">
        <v>25</v>
      </c>
      <c r="C20" s="77"/>
      <c r="D20" s="87">
        <f>(D19/100)*$F$14</f>
        <v>0</v>
      </c>
      <c r="E20" s="77" t="s">
        <v>3</v>
      </c>
      <c r="F20" s="88">
        <f>IF(D20="","",D19+D20)</f>
        <v>9.3000000000000007</v>
      </c>
      <c r="G20" s="77" t="s">
        <v>3</v>
      </c>
      <c r="H20" s="84">
        <f>IF(D20="","",ROUND(F20/100*$H$5,2))</f>
        <v>1.4</v>
      </c>
      <c r="I20" s="77" t="s">
        <v>4</v>
      </c>
      <c r="K20" s="80"/>
    </row>
    <row r="21" spans="1:11" ht="11.25" x14ac:dyDescent="0.2">
      <c r="A21" s="77" t="s">
        <v>26</v>
      </c>
      <c r="B21" s="77" t="s">
        <v>123</v>
      </c>
      <c r="C21" s="77"/>
      <c r="D21" s="8">
        <f>D75</f>
        <v>1.3</v>
      </c>
      <c r="E21" s="77" t="s">
        <v>3</v>
      </c>
      <c r="F21" s="89"/>
      <c r="G21" s="77"/>
      <c r="H21" s="81"/>
      <c r="I21" s="77"/>
      <c r="K21" s="80" t="str">
        <f ca="1">IF(D21&lt;&gt;D75,"Wert prüfen!",IF(H61="","Inhalt der gelben Zellen kann angepasst werden.",""))</f>
        <v>Inhalt der gelben Zellen kann angepasst werden.</v>
      </c>
    </row>
    <row r="22" spans="1:11" x14ac:dyDescent="0.2">
      <c r="A22" s="77"/>
      <c r="B22" s="77" t="s">
        <v>27</v>
      </c>
      <c r="C22" s="77"/>
      <c r="D22" s="87">
        <f>(D21/100)*$F$14</f>
        <v>0</v>
      </c>
      <c r="E22" s="77" t="s">
        <v>3</v>
      </c>
      <c r="F22" s="88">
        <f>IF(D22="","",D21+D22)</f>
        <v>1.3</v>
      </c>
      <c r="G22" s="77" t="s">
        <v>3</v>
      </c>
      <c r="H22" s="84">
        <f>IF(D22="","",ROUND(F22/100*$H$5,2))</f>
        <v>0.2</v>
      </c>
      <c r="I22" s="77" t="s">
        <v>4</v>
      </c>
      <c r="K22" s="80"/>
    </row>
    <row r="23" spans="1:11" ht="11.25" x14ac:dyDescent="0.2">
      <c r="A23" s="77" t="s">
        <v>28</v>
      </c>
      <c r="B23" s="77" t="s">
        <v>124</v>
      </c>
      <c r="C23" s="77"/>
      <c r="D23" s="8">
        <f>D76</f>
        <v>1.8</v>
      </c>
      <c r="E23" s="77" t="s">
        <v>3</v>
      </c>
      <c r="F23" s="89"/>
      <c r="G23" s="77"/>
      <c r="H23" s="81"/>
      <c r="I23" s="77"/>
      <c r="K23" s="80" t="str">
        <f ca="1">IF(D23&lt;&gt;D76,"Wert prüfen!",IF(H61="","Inhalt der gelben Zellen kann angepasst werden.",""))</f>
        <v>Inhalt der gelben Zellen kann angepasst werden.</v>
      </c>
    </row>
    <row r="24" spans="1:11" x14ac:dyDescent="0.2">
      <c r="A24" s="77"/>
      <c r="B24" s="77" t="s">
        <v>29</v>
      </c>
      <c r="C24" s="77"/>
      <c r="D24" s="87">
        <f>(D23/100)*$F$14</f>
        <v>0</v>
      </c>
      <c r="E24" s="77" t="s">
        <v>3</v>
      </c>
      <c r="F24" s="88">
        <f>IF(D24="","",D23+D24)</f>
        <v>1.8</v>
      </c>
      <c r="G24" s="77" t="s">
        <v>3</v>
      </c>
      <c r="H24" s="84">
        <f>IF(D24="","",ROUND(F24/100*$H$5,2))</f>
        <v>0.27</v>
      </c>
      <c r="I24" s="77" t="s">
        <v>4</v>
      </c>
      <c r="K24" s="80"/>
    </row>
    <row r="25" spans="1:11" ht="11.25" x14ac:dyDescent="0.2">
      <c r="A25" s="77" t="s">
        <v>30</v>
      </c>
      <c r="B25" s="77" t="s">
        <v>125</v>
      </c>
      <c r="C25" s="77"/>
      <c r="D25" s="8"/>
      <c r="E25" s="77" t="s">
        <v>3</v>
      </c>
      <c r="F25" s="89"/>
      <c r="G25" s="77"/>
      <c r="H25" s="81"/>
      <c r="I25" s="77"/>
      <c r="K25" s="80" t="str">
        <f>IF(D25="","Bitte ausfüllen!","")</f>
        <v>Bitte ausfüllen!</v>
      </c>
    </row>
    <row r="26" spans="1:11" x14ac:dyDescent="0.2">
      <c r="A26" s="77"/>
      <c r="B26" s="77" t="s">
        <v>31</v>
      </c>
      <c r="C26" s="77"/>
      <c r="D26" s="87">
        <f>(D25/100)*$F$14</f>
        <v>0</v>
      </c>
      <c r="E26" s="77" t="s">
        <v>3</v>
      </c>
      <c r="F26" s="88">
        <f>IF(D26="","",D25+D26)</f>
        <v>0</v>
      </c>
      <c r="G26" s="77" t="s">
        <v>3</v>
      </c>
      <c r="H26" s="84">
        <f>IF(D26="","",ROUND(F26/100*$H$5,2))</f>
        <v>0</v>
      </c>
      <c r="I26" s="77" t="s">
        <v>4</v>
      </c>
      <c r="K26" s="80"/>
    </row>
    <row r="27" spans="1:11" ht="11.25" x14ac:dyDescent="0.2">
      <c r="A27" s="77" t="s">
        <v>32</v>
      </c>
      <c r="B27" s="77" t="s">
        <v>126</v>
      </c>
      <c r="C27" s="77"/>
      <c r="D27" s="77"/>
      <c r="E27" s="77"/>
      <c r="F27" s="8"/>
      <c r="G27" s="77" t="s">
        <v>3</v>
      </c>
      <c r="H27" s="84" t="str">
        <f>IF(F27="","",ROUND(F27/100*$H$5,2))</f>
        <v/>
      </c>
      <c r="I27" s="77" t="s">
        <v>4</v>
      </c>
      <c r="K27" s="80" t="str">
        <f>IF(F27="","Bitte ausfüllen!","")</f>
        <v>Bitte ausfüllen!</v>
      </c>
    </row>
    <row r="28" spans="1:11" ht="11.25" x14ac:dyDescent="0.2">
      <c r="A28" s="77" t="s">
        <v>33</v>
      </c>
      <c r="B28" s="77" t="s">
        <v>127</v>
      </c>
      <c r="C28" s="77"/>
      <c r="D28" s="77"/>
      <c r="E28" s="77"/>
      <c r="F28" s="8">
        <f>D79</f>
        <v>0.15</v>
      </c>
      <c r="G28" s="77" t="s">
        <v>3</v>
      </c>
      <c r="H28" s="84">
        <f>IF(F28="","",ROUND(F28/100*$H$5,2))</f>
        <v>0.02</v>
      </c>
      <c r="I28" s="77" t="s">
        <v>4</v>
      </c>
      <c r="K28" s="80" t="str">
        <f ca="1">IF(F28&lt;&gt;D79,"Wert prüfen!",IF(H61="","Inhalt der gelben Zellen kann angepasst werden.",""))</f>
        <v>Inhalt der gelben Zellen kann angepasst werden.</v>
      </c>
    </row>
    <row r="29" spans="1:11" ht="23.45" customHeight="1" x14ac:dyDescent="0.2">
      <c r="A29" s="78"/>
      <c r="B29" s="152" t="s">
        <v>34</v>
      </c>
      <c r="C29" s="152"/>
      <c r="D29" s="78"/>
      <c r="E29" s="78"/>
      <c r="F29" s="85">
        <f>IF(SUM(F17:F28)=0,0,SUM(F17:F28)+F14)</f>
        <v>21.3</v>
      </c>
      <c r="G29" s="78" t="s">
        <v>3</v>
      </c>
      <c r="H29" s="86" t="str">
        <f>IF(OR(COUNTIF(D17:D26,"")&gt;0,COUNTIF(F27:F28,"")&gt;0),"",SUM(H17:H28)+H14)</f>
        <v/>
      </c>
      <c r="I29" s="78" t="s">
        <v>4</v>
      </c>
      <c r="K29" s="80" t="str">
        <f>IF(H29="","Angaben offen!","")</f>
        <v>Angaben offen!</v>
      </c>
    </row>
    <row r="30" spans="1:11" ht="5.45" customHeight="1" x14ac:dyDescent="0.2">
      <c r="A30" s="77"/>
      <c r="B30" s="77"/>
      <c r="C30" s="77"/>
      <c r="D30" s="77"/>
      <c r="E30" s="77"/>
      <c r="F30" s="81"/>
      <c r="G30" s="77"/>
      <c r="H30" s="81"/>
      <c r="I30" s="77"/>
    </row>
    <row r="31" spans="1:11" x14ac:dyDescent="0.2">
      <c r="A31" s="77"/>
      <c r="B31" s="78" t="s">
        <v>35</v>
      </c>
      <c r="C31" s="77"/>
      <c r="D31" s="77"/>
      <c r="E31" s="77"/>
      <c r="F31" s="81"/>
      <c r="G31" s="77"/>
      <c r="H31" s="81"/>
      <c r="I31" s="77"/>
    </row>
    <row r="32" spans="1:11" x14ac:dyDescent="0.2">
      <c r="A32" s="77" t="s">
        <v>36</v>
      </c>
      <c r="B32" s="77" t="s">
        <v>37</v>
      </c>
      <c r="C32" s="77"/>
      <c r="D32" s="77"/>
      <c r="E32" s="77"/>
      <c r="F32" s="8"/>
      <c r="G32" s="77" t="s">
        <v>3</v>
      </c>
      <c r="H32" s="84" t="str">
        <f>IF(F32="","",ROUND(F32/100*$H$5,2))</f>
        <v/>
      </c>
      <c r="I32" s="77" t="s">
        <v>4</v>
      </c>
      <c r="K32" s="80" t="str">
        <f>IF(F32="","Bitte ausfüllen!","")</f>
        <v>Bitte ausfüllen!</v>
      </c>
    </row>
    <row r="33" spans="1:11" x14ac:dyDescent="0.2">
      <c r="A33" s="77" t="s">
        <v>38</v>
      </c>
      <c r="B33" s="77" t="s">
        <v>39</v>
      </c>
      <c r="C33" s="77"/>
      <c r="D33" s="77"/>
      <c r="E33" s="77"/>
      <c r="F33" s="8"/>
      <c r="G33" s="77" t="s">
        <v>3</v>
      </c>
      <c r="H33" s="84" t="str">
        <f>IF(F33="","",ROUND(F33/100*$H$5,2))</f>
        <v/>
      </c>
      <c r="I33" s="77" t="s">
        <v>4</v>
      </c>
      <c r="K33" s="80" t="str">
        <f>IF(F33="","Bitte ausfüllen!","")</f>
        <v>Bitte ausfüllen!</v>
      </c>
    </row>
    <row r="34" spans="1:11" ht="22.15" customHeight="1" x14ac:dyDescent="0.2">
      <c r="A34" s="78"/>
      <c r="B34" s="152" t="s">
        <v>40</v>
      </c>
      <c r="C34" s="152"/>
      <c r="D34" s="78"/>
      <c r="E34" s="78"/>
      <c r="F34" s="85">
        <f>IF(SUM(F32:F33)=0,0,SUM(F32:F33)+F29)</f>
        <v>0</v>
      </c>
      <c r="G34" s="78" t="s">
        <v>3</v>
      </c>
      <c r="H34" s="86" t="str">
        <f>IF(COUNTIF(H32:H33,"")&gt;0,"",SUM(H32:H33)+H29)</f>
        <v/>
      </c>
      <c r="I34" s="78" t="s">
        <v>4</v>
      </c>
      <c r="K34" s="80" t="str">
        <f>IF(H34="","Angaben offen!","")</f>
        <v>Angaben offen!</v>
      </c>
    </row>
    <row r="35" spans="1:11" ht="5.45" customHeight="1" x14ac:dyDescent="0.2">
      <c r="A35" s="77"/>
      <c r="B35" s="77"/>
      <c r="C35" s="77"/>
      <c r="D35" s="77"/>
      <c r="E35" s="77"/>
      <c r="F35" s="81"/>
      <c r="G35" s="77"/>
      <c r="H35" s="81"/>
      <c r="I35" s="77"/>
    </row>
    <row r="36" spans="1:11" x14ac:dyDescent="0.2">
      <c r="A36" s="78" t="s">
        <v>41</v>
      </c>
      <c r="B36" s="78" t="s">
        <v>42</v>
      </c>
      <c r="C36" s="78"/>
      <c r="D36" s="78"/>
      <c r="E36" s="78"/>
      <c r="F36" s="82"/>
      <c r="G36" s="78"/>
      <c r="H36" s="82"/>
      <c r="I36" s="78"/>
    </row>
    <row r="37" spans="1:11" x14ac:dyDescent="0.2">
      <c r="A37" s="77" t="s">
        <v>43</v>
      </c>
      <c r="B37" s="77" t="s">
        <v>44</v>
      </c>
      <c r="C37" s="77"/>
      <c r="D37" s="77"/>
      <c r="E37" s="77"/>
      <c r="F37" s="81"/>
      <c r="G37" s="77"/>
      <c r="H37" s="81"/>
      <c r="I37" s="77"/>
    </row>
    <row r="38" spans="1:11" x14ac:dyDescent="0.2">
      <c r="A38" s="77"/>
      <c r="B38" s="77" t="s">
        <v>45</v>
      </c>
      <c r="C38" s="77"/>
      <c r="D38" s="77"/>
      <c r="E38" s="77"/>
      <c r="F38" s="8"/>
      <c r="G38" s="77" t="s">
        <v>3</v>
      </c>
      <c r="H38" s="84" t="str">
        <f>IF(F38="","",ROUND(F38/100*$H$5,2))</f>
        <v/>
      </c>
      <c r="I38" s="77" t="s">
        <v>4</v>
      </c>
      <c r="K38" s="80" t="str">
        <f>IF(F38="","Bitte ausfüllen!","")</f>
        <v>Bitte ausfüllen!</v>
      </c>
    </row>
    <row r="39" spans="1:11" x14ac:dyDescent="0.2">
      <c r="A39" s="77" t="s">
        <v>46</v>
      </c>
      <c r="B39" s="77" t="s">
        <v>47</v>
      </c>
      <c r="C39" s="77"/>
      <c r="D39" s="77"/>
      <c r="E39" s="77"/>
      <c r="F39" s="8"/>
      <c r="G39" s="77" t="s">
        <v>3</v>
      </c>
      <c r="H39" s="84" t="str">
        <f>IF(F39="","",ROUND(F39/100*$H$5,2))</f>
        <v/>
      </c>
      <c r="I39" s="77" t="s">
        <v>4</v>
      </c>
      <c r="K39" s="80" t="str">
        <f>IF(F39="","Bitte ausfüllen!","")</f>
        <v>Bitte ausfüllen!</v>
      </c>
    </row>
    <row r="40" spans="1:11" x14ac:dyDescent="0.2">
      <c r="A40" s="77" t="s">
        <v>48</v>
      </c>
      <c r="B40" s="77" t="s">
        <v>49</v>
      </c>
      <c r="C40" s="77"/>
      <c r="D40" s="77"/>
      <c r="E40" s="77"/>
      <c r="F40" s="8"/>
      <c r="G40" s="77" t="s">
        <v>3</v>
      </c>
      <c r="H40" s="84" t="str">
        <f>IF(F40="","",ROUND(F40/100*$H$5,2))</f>
        <v/>
      </c>
      <c r="I40" s="77" t="s">
        <v>4</v>
      </c>
      <c r="K40" s="80" t="str">
        <f>IF(F40="","Bitte ausfüllen!","")</f>
        <v>Bitte ausfüllen!</v>
      </c>
    </row>
    <row r="41" spans="1:11" x14ac:dyDescent="0.2">
      <c r="A41" s="77" t="s">
        <v>50</v>
      </c>
      <c r="B41" s="77" t="s">
        <v>51</v>
      </c>
      <c r="C41" s="77"/>
      <c r="D41" s="77"/>
      <c r="E41" s="77"/>
      <c r="F41" s="8"/>
      <c r="G41" s="77" t="s">
        <v>3</v>
      </c>
      <c r="H41" s="84" t="str">
        <f>IF(F41="","",ROUND(F41/100*$H$5,2))</f>
        <v/>
      </c>
      <c r="I41" s="77" t="s">
        <v>4</v>
      </c>
      <c r="K41" s="80" t="str">
        <f>IF(F41="","Bitte ausfüllen!","")</f>
        <v>Bitte ausfüllen!</v>
      </c>
    </row>
    <row r="42" spans="1:11" ht="23.45" customHeight="1" x14ac:dyDescent="0.2">
      <c r="A42" s="78"/>
      <c r="B42" s="152" t="s">
        <v>52</v>
      </c>
      <c r="C42" s="152"/>
      <c r="D42" s="78"/>
      <c r="E42" s="78"/>
      <c r="F42" s="85">
        <f>IF(SUM(F38:F41)=0,0,SUM(F38:F41))</f>
        <v>0</v>
      </c>
      <c r="G42" s="78" t="s">
        <v>3</v>
      </c>
      <c r="H42" s="86" t="str">
        <f>IF(COUNTIF(H38:H41,"")&gt;0,"",SUM(H38:H41))</f>
        <v/>
      </c>
      <c r="I42" s="78" t="s">
        <v>4</v>
      </c>
      <c r="K42" s="80" t="str">
        <f>IF(H42="","Angaben offen!","")</f>
        <v>Angaben offen!</v>
      </c>
    </row>
    <row r="43" spans="1:11" ht="5.45" customHeight="1" x14ac:dyDescent="0.2">
      <c r="A43" s="77"/>
      <c r="B43" s="77"/>
      <c r="C43" s="77"/>
      <c r="D43" s="77"/>
      <c r="E43" s="77"/>
      <c r="F43" s="81"/>
      <c r="G43" s="77"/>
      <c r="H43" s="81"/>
      <c r="I43" s="77"/>
    </row>
    <row r="44" spans="1:11" x14ac:dyDescent="0.2">
      <c r="A44" s="78" t="s">
        <v>53</v>
      </c>
      <c r="B44" s="78" t="s">
        <v>54</v>
      </c>
      <c r="C44" s="78"/>
      <c r="D44" s="78"/>
      <c r="E44" s="78"/>
      <c r="F44" s="78"/>
      <c r="G44" s="78"/>
      <c r="H44" s="78"/>
      <c r="I44" s="78"/>
    </row>
    <row r="45" spans="1:11" x14ac:dyDescent="0.2">
      <c r="A45" s="77" t="s">
        <v>55</v>
      </c>
      <c r="B45" s="77" t="s">
        <v>56</v>
      </c>
      <c r="C45" s="77"/>
      <c r="D45" s="77"/>
      <c r="E45" s="77"/>
      <c r="F45" s="77"/>
      <c r="G45" s="77"/>
      <c r="H45" s="77"/>
      <c r="I45" s="77"/>
    </row>
    <row r="46" spans="1:11" x14ac:dyDescent="0.2">
      <c r="A46" s="77" t="s">
        <v>57</v>
      </c>
      <c r="B46" s="77"/>
      <c r="C46" s="77" t="s">
        <v>58</v>
      </c>
      <c r="D46" s="77"/>
      <c r="E46" s="77"/>
      <c r="F46" s="8"/>
      <c r="G46" s="77" t="s">
        <v>3</v>
      </c>
      <c r="H46" s="84" t="str">
        <f>IF(F46="","",ROUND(F46/100*$H$5,2))</f>
        <v/>
      </c>
      <c r="I46" s="77" t="s">
        <v>4</v>
      </c>
      <c r="K46" s="80" t="str">
        <f>IF(F46="","Bitte ausfüllen!","")</f>
        <v>Bitte ausfüllen!</v>
      </c>
    </row>
    <row r="47" spans="1:11" x14ac:dyDescent="0.2">
      <c r="A47" s="77" t="s">
        <v>59</v>
      </c>
      <c r="B47" s="77"/>
      <c r="C47" s="77" t="s">
        <v>120</v>
      </c>
      <c r="D47" s="77"/>
      <c r="E47" s="77"/>
      <c r="F47" s="8"/>
      <c r="G47" s="77" t="s">
        <v>3</v>
      </c>
      <c r="H47" s="84" t="str">
        <f>IF(F47="","",ROUND(F47/100*$H$5,2))</f>
        <v/>
      </c>
      <c r="I47" s="77" t="s">
        <v>4</v>
      </c>
      <c r="K47" s="80" t="str">
        <f>IF(F47="","Bitte ausfüllen!","")</f>
        <v>Bitte ausfüllen!</v>
      </c>
    </row>
    <row r="48" spans="1:11" x14ac:dyDescent="0.2">
      <c r="A48" s="77" t="s">
        <v>60</v>
      </c>
      <c r="B48" s="77" t="s">
        <v>61</v>
      </c>
      <c r="C48" s="77"/>
      <c r="D48" s="77"/>
      <c r="E48" s="77"/>
      <c r="F48" s="8"/>
      <c r="G48" s="77" t="s">
        <v>3</v>
      </c>
      <c r="H48" s="84" t="str">
        <f>IF(F48="","",ROUND(F48/100*$H$5,2))</f>
        <v/>
      </c>
      <c r="I48" s="77" t="s">
        <v>4</v>
      </c>
      <c r="K48" s="80" t="str">
        <f>IF(F48="","Bitte ausfüllen!","")</f>
        <v>Bitte ausfüllen!</v>
      </c>
    </row>
    <row r="49" spans="1:11" x14ac:dyDescent="0.2">
      <c r="A49" s="77" t="s">
        <v>62</v>
      </c>
      <c r="B49" s="77" t="s">
        <v>63</v>
      </c>
      <c r="C49" s="77"/>
      <c r="D49" s="77"/>
      <c r="E49" s="77"/>
      <c r="F49" s="77"/>
      <c r="G49" s="77"/>
      <c r="H49" s="77"/>
      <c r="I49" s="77"/>
    </row>
    <row r="50" spans="1:11" x14ac:dyDescent="0.2">
      <c r="A50" s="77" t="s">
        <v>64</v>
      </c>
      <c r="B50" s="77"/>
      <c r="C50" s="77" t="s">
        <v>65</v>
      </c>
      <c r="D50" s="77"/>
      <c r="E50" s="77"/>
      <c r="F50" s="8"/>
      <c r="G50" s="77" t="s">
        <v>3</v>
      </c>
      <c r="H50" s="84" t="str">
        <f t="shared" ref="H50:H56" si="0">IF(F50="","",ROUND(F50/100*$H$5,2))</f>
        <v/>
      </c>
      <c r="I50" s="77" t="s">
        <v>4</v>
      </c>
      <c r="K50" s="80" t="str">
        <f t="shared" ref="K50:K56" si="1">IF(F50="","Bitte ausfüllen!","")</f>
        <v>Bitte ausfüllen!</v>
      </c>
    </row>
    <row r="51" spans="1:11" x14ac:dyDescent="0.2">
      <c r="A51" s="77" t="s">
        <v>66</v>
      </c>
      <c r="B51" s="77"/>
      <c r="C51" s="77" t="s">
        <v>67</v>
      </c>
      <c r="D51" s="77"/>
      <c r="E51" s="77"/>
      <c r="F51" s="8"/>
      <c r="G51" s="77" t="s">
        <v>3</v>
      </c>
      <c r="H51" s="84" t="str">
        <f t="shared" si="0"/>
        <v/>
      </c>
      <c r="I51" s="77" t="s">
        <v>4</v>
      </c>
      <c r="K51" s="80" t="str">
        <f t="shared" si="1"/>
        <v>Bitte ausfüllen!</v>
      </c>
    </row>
    <row r="52" spans="1:11" x14ac:dyDescent="0.2">
      <c r="A52" s="77" t="s">
        <v>68</v>
      </c>
      <c r="B52" s="77" t="s">
        <v>69</v>
      </c>
      <c r="C52" s="77"/>
      <c r="D52" s="77"/>
      <c r="E52" s="77"/>
      <c r="F52" s="8"/>
      <c r="G52" s="77" t="s">
        <v>3</v>
      </c>
      <c r="H52" s="84" t="str">
        <f t="shared" si="0"/>
        <v/>
      </c>
      <c r="I52" s="77" t="s">
        <v>4</v>
      </c>
      <c r="K52" s="80" t="str">
        <f t="shared" si="1"/>
        <v>Bitte ausfüllen!</v>
      </c>
    </row>
    <row r="53" spans="1:11" x14ac:dyDescent="0.2">
      <c r="A53" s="77" t="s">
        <v>70</v>
      </c>
      <c r="B53" s="77" t="s">
        <v>71</v>
      </c>
      <c r="C53" s="77"/>
      <c r="D53" s="77"/>
      <c r="E53" s="77"/>
      <c r="F53" s="8"/>
      <c r="G53" s="77" t="s">
        <v>3</v>
      </c>
      <c r="H53" s="84" t="str">
        <f t="shared" si="0"/>
        <v/>
      </c>
      <c r="I53" s="77" t="s">
        <v>4</v>
      </c>
      <c r="K53" s="80" t="str">
        <f t="shared" si="1"/>
        <v>Bitte ausfüllen!</v>
      </c>
    </row>
    <row r="54" spans="1:11" x14ac:dyDescent="0.2">
      <c r="A54" s="77" t="s">
        <v>72</v>
      </c>
      <c r="B54" s="77" t="s">
        <v>73</v>
      </c>
      <c r="C54" s="77"/>
      <c r="D54" s="77"/>
      <c r="E54" s="77"/>
      <c r="F54" s="8"/>
      <c r="G54" s="77" t="s">
        <v>3</v>
      </c>
      <c r="H54" s="84" t="str">
        <f t="shared" si="0"/>
        <v/>
      </c>
      <c r="I54" s="77" t="s">
        <v>4</v>
      </c>
      <c r="K54" s="80" t="str">
        <f t="shared" si="1"/>
        <v>Bitte ausfüllen!</v>
      </c>
    </row>
    <row r="55" spans="1:11" x14ac:dyDescent="0.2">
      <c r="A55" s="77" t="s">
        <v>74</v>
      </c>
      <c r="B55" s="77" t="s">
        <v>75</v>
      </c>
      <c r="C55" s="77"/>
      <c r="D55" s="77"/>
      <c r="E55" s="77"/>
      <c r="F55" s="8"/>
      <c r="G55" s="77" t="s">
        <v>3</v>
      </c>
      <c r="H55" s="84" t="str">
        <f t="shared" si="0"/>
        <v/>
      </c>
      <c r="I55" s="77" t="s">
        <v>4</v>
      </c>
      <c r="K55" s="80" t="str">
        <f t="shared" si="1"/>
        <v>Bitte ausfüllen!</v>
      </c>
    </row>
    <row r="56" spans="1:11" x14ac:dyDescent="0.2">
      <c r="A56" s="77" t="s">
        <v>76</v>
      </c>
      <c r="B56" s="77" t="s">
        <v>77</v>
      </c>
      <c r="C56" s="77"/>
      <c r="D56" s="77"/>
      <c r="E56" s="77"/>
      <c r="F56" s="8"/>
      <c r="G56" s="77" t="s">
        <v>3</v>
      </c>
      <c r="H56" s="84" t="str">
        <f t="shared" si="0"/>
        <v/>
      </c>
      <c r="I56" s="77" t="s">
        <v>4</v>
      </c>
      <c r="K56" s="80" t="str">
        <f t="shared" si="1"/>
        <v>Bitte ausfüllen!</v>
      </c>
    </row>
    <row r="57" spans="1:11" ht="23.45" customHeight="1" x14ac:dyDescent="0.2">
      <c r="A57" s="78"/>
      <c r="B57" s="152" t="s">
        <v>78</v>
      </c>
      <c r="C57" s="152"/>
      <c r="D57" s="78"/>
      <c r="E57" s="78"/>
      <c r="F57" s="85">
        <f>IF(SUM(F45:F56)=0,0,SUM(F45:F56))</f>
        <v>0</v>
      </c>
      <c r="G57" s="78" t="s">
        <v>3</v>
      </c>
      <c r="H57" s="86" t="str">
        <f>IF(COUNTIF(H46:H56,"")&gt;1,"",SUM(H46:H56))</f>
        <v/>
      </c>
      <c r="I57" s="78" t="s">
        <v>4</v>
      </c>
      <c r="K57" s="80" t="str">
        <f>IF(H57="","Angaben offen!","")</f>
        <v>Angaben offen!</v>
      </c>
    </row>
    <row r="58" spans="1:11" ht="6.6" customHeight="1" x14ac:dyDescent="0.2">
      <c r="A58" s="77"/>
      <c r="B58" s="77"/>
      <c r="C58" s="77"/>
      <c r="D58" s="77"/>
      <c r="E58" s="77"/>
      <c r="F58" s="81"/>
      <c r="G58" s="77"/>
      <c r="H58" s="81"/>
      <c r="I58" s="77"/>
    </row>
    <row r="59" spans="1:11" x14ac:dyDescent="0.2">
      <c r="A59" s="78" t="s">
        <v>79</v>
      </c>
      <c r="B59" s="151" t="s">
        <v>80</v>
      </c>
      <c r="C59" s="151"/>
      <c r="D59" s="78"/>
      <c r="E59" s="78"/>
      <c r="F59" s="90">
        <f>IF(AND(F34=""),0,F34+F42+F57+F5)</f>
        <v>100</v>
      </c>
      <c r="G59" s="78" t="s">
        <v>3</v>
      </c>
      <c r="H59" s="82" t="str">
        <f>IF(H57="","",H34+H42+H57+H5)</f>
        <v/>
      </c>
      <c r="I59" s="78" t="s">
        <v>4</v>
      </c>
    </row>
    <row r="60" spans="1:11" x14ac:dyDescent="0.2">
      <c r="A60" s="78" t="s">
        <v>81</v>
      </c>
      <c r="B60" s="78" t="s">
        <v>82</v>
      </c>
      <c r="C60" s="78"/>
      <c r="D60" s="78"/>
      <c r="E60" s="78"/>
      <c r="F60" s="8"/>
      <c r="G60" s="78" t="s">
        <v>3</v>
      </c>
      <c r="H60" s="86" t="str">
        <f>IF(F60="","",ROUND(F60/100*H59,2))</f>
        <v/>
      </c>
      <c r="I60" s="78" t="s">
        <v>4</v>
      </c>
      <c r="K60" s="80" t="str">
        <f>IF(F60="","Bitte ausfüllen!","")</f>
        <v>Bitte ausfüllen!</v>
      </c>
    </row>
    <row r="61" spans="1:11" x14ac:dyDescent="0.2">
      <c r="A61" s="78"/>
      <c r="B61" s="78" t="s">
        <v>83</v>
      </c>
      <c r="C61" s="78"/>
      <c r="D61" s="78"/>
      <c r="E61" s="78"/>
      <c r="F61" s="85">
        <f ca="1">IF(H61="",0,H61/H5*100)</f>
        <v>0</v>
      </c>
      <c r="G61" s="78" t="s">
        <v>3</v>
      </c>
      <c r="H61" s="86" t="str">
        <f ca="1">IF(SUM(COUNTIF(INDIRECT({"H5","F9:F13","D17:D26","F27:F28","F32:F33","F38:F41","F46:F48","F50:F56","F60","H65:H68"}),""))&gt;0,"",H59+H60)</f>
        <v/>
      </c>
      <c r="I61" s="78" t="s">
        <v>4</v>
      </c>
      <c r="K61" s="80" t="str">
        <f ca="1">IF(SUM(COUNTIF(INDIRECT({"H5","F9:F13","D17:D26","F27:F28","F32:F33","F38:F41","F46:F48","F50:F56","F60","H65:H68"}),""))&gt;0,SUM(COUNTIF(INDIRECT({"H5","F9:F13","D17:D26","F27:F28","F32:F33","F38:F41","F46:F48","F50:F56","F60","H65:H68"}),"")) &amp;" Zelle(n) ohne Wert!","")</f>
        <v>28 Zelle(n) ohne Wert!</v>
      </c>
    </row>
    <row r="62" spans="1:11" x14ac:dyDescent="0.2">
      <c r="A62" s="77"/>
      <c r="B62" s="77" t="s">
        <v>84</v>
      </c>
      <c r="C62" s="77"/>
      <c r="D62" s="77"/>
      <c r="E62" s="77"/>
      <c r="F62" s="85">
        <f ca="1">IF(F61=0,0,F61-F5)</f>
        <v>0</v>
      </c>
      <c r="G62" s="77" t="s">
        <v>3</v>
      </c>
      <c r="H62" s="77"/>
      <c r="I62" s="77"/>
      <c r="K62" s="80" t="str">
        <f ca="1">IF(F62&lt;70,"Bitte prüfen gemäß Aufforderung!","")</f>
        <v>Bitte prüfen gemäß Aufforderung!</v>
      </c>
    </row>
    <row r="63" spans="1:11" ht="5.45" customHeight="1" x14ac:dyDescent="0.2">
      <c r="A63" s="77"/>
      <c r="B63" s="78"/>
      <c r="C63" s="77"/>
      <c r="D63" s="77"/>
      <c r="E63" s="77"/>
      <c r="F63" s="90"/>
      <c r="G63" s="77"/>
      <c r="H63" s="82"/>
    </row>
    <row r="64" spans="1:11" x14ac:dyDescent="0.2">
      <c r="B64" s="78" t="s">
        <v>85</v>
      </c>
      <c r="D64" s="78"/>
      <c r="E64" s="78"/>
      <c r="G64" s="78"/>
      <c r="H64" s="82" t="s">
        <v>86</v>
      </c>
      <c r="I64" s="78"/>
    </row>
    <row r="65" spans="1:15" x14ac:dyDescent="0.2">
      <c r="B65" s="77" t="s">
        <v>87</v>
      </c>
      <c r="D65" s="77"/>
      <c r="E65" s="77"/>
      <c r="G65" s="91"/>
      <c r="H65" s="9"/>
      <c r="I65" s="91"/>
      <c r="K65" s="80" t="str">
        <f>IF(H65="","Bitte ausfüllen!","")</f>
        <v>Bitte ausfüllen!</v>
      </c>
    </row>
    <row r="66" spans="1:15" x14ac:dyDescent="0.2">
      <c r="B66" s="77" t="s">
        <v>88</v>
      </c>
      <c r="D66" s="77"/>
      <c r="E66" s="77"/>
      <c r="G66" s="91"/>
      <c r="H66" s="10"/>
      <c r="I66" s="91"/>
      <c r="K66" s="80" t="str">
        <f>IF(H66="","Bitte ausfüllen!","")</f>
        <v>Bitte ausfüllen!</v>
      </c>
    </row>
    <row r="67" spans="1:15" x14ac:dyDescent="0.2">
      <c r="B67" s="77" t="s">
        <v>89</v>
      </c>
      <c r="D67" s="77"/>
      <c r="E67" s="77"/>
      <c r="G67" s="91"/>
      <c r="H67" s="11"/>
      <c r="I67" s="91"/>
      <c r="K67" s="80" t="str">
        <f>IF(H67="","Bitte ausfüllen!","")</f>
        <v>Bitte ausfüllen!</v>
      </c>
    </row>
    <row r="68" spans="1:15" x14ac:dyDescent="0.2">
      <c r="B68" s="77" t="s">
        <v>90</v>
      </c>
      <c r="D68" s="77"/>
      <c r="E68" s="77"/>
      <c r="G68" s="91"/>
      <c r="H68" s="10"/>
      <c r="I68" s="91"/>
      <c r="K68" s="80" t="str">
        <f>IF(H68="","Bitte ausfüllen!","")</f>
        <v>Bitte ausfüllen!</v>
      </c>
    </row>
    <row r="69" spans="1:15" ht="5.45" customHeight="1" x14ac:dyDescent="0.2"/>
    <row r="70" spans="1:15" ht="5.45" customHeight="1" x14ac:dyDescent="0.2">
      <c r="C70" s="60"/>
      <c r="D70" s="4"/>
    </row>
    <row r="71" spans="1:15" ht="15.95" customHeight="1" x14ac:dyDescent="0.2">
      <c r="A71" s="142" t="s">
        <v>195</v>
      </c>
      <c r="B71" s="142"/>
      <c r="C71" s="142"/>
      <c r="D71" s="142" t="s">
        <v>198</v>
      </c>
      <c r="F71" s="144" t="s">
        <v>133</v>
      </c>
      <c r="G71" s="145"/>
      <c r="H71" s="146"/>
      <c r="L71" s="33"/>
      <c r="M71" s="33"/>
      <c r="N71" s="33"/>
      <c r="O71" s="33"/>
    </row>
    <row r="72" spans="1:15" ht="15.95" customHeight="1" x14ac:dyDescent="0.2">
      <c r="A72" s="143"/>
      <c r="B72" s="143"/>
      <c r="C72" s="143"/>
      <c r="D72" s="143"/>
      <c r="F72" s="147"/>
      <c r="G72" s="148"/>
      <c r="H72" s="149"/>
      <c r="I72" s="78"/>
      <c r="J72" s="78"/>
      <c r="K72" s="78"/>
      <c r="L72" s="33"/>
      <c r="M72" s="33"/>
      <c r="N72" s="33"/>
      <c r="O72" s="33"/>
    </row>
    <row r="73" spans="1:15" ht="19.899999999999999" customHeight="1" x14ac:dyDescent="0.2">
      <c r="A73" s="153">
        <v>1</v>
      </c>
      <c r="B73" s="153"/>
      <c r="C73" s="12" t="s">
        <v>128</v>
      </c>
      <c r="D73" s="62">
        <v>7.3</v>
      </c>
      <c r="F73" s="154" t="s">
        <v>328</v>
      </c>
      <c r="G73" s="154"/>
      <c r="H73" s="154"/>
    </row>
    <row r="74" spans="1:15" ht="19.899999999999999" customHeight="1" x14ac:dyDescent="0.2">
      <c r="A74" s="153">
        <v>2</v>
      </c>
      <c r="B74" s="153"/>
      <c r="C74" s="12" t="s">
        <v>129</v>
      </c>
      <c r="D74" s="62">
        <v>9.3000000000000007</v>
      </c>
    </row>
    <row r="75" spans="1:15" ht="25.5" customHeight="1" x14ac:dyDescent="0.2">
      <c r="A75" s="153">
        <v>3</v>
      </c>
      <c r="B75" s="153"/>
      <c r="C75" s="12" t="s">
        <v>130</v>
      </c>
      <c r="D75" s="62">
        <v>1.3</v>
      </c>
    </row>
    <row r="76" spans="1:15" ht="25.5" customHeight="1" x14ac:dyDescent="0.2">
      <c r="A76" s="153">
        <v>4</v>
      </c>
      <c r="B76" s="153"/>
      <c r="C76" s="12" t="s">
        <v>131</v>
      </c>
      <c r="D76" s="62">
        <f>IF( F73="Sachsen",1.3,1.8)</f>
        <v>1.8</v>
      </c>
    </row>
    <row r="77" spans="1:15" ht="31.5" x14ac:dyDescent="0.2">
      <c r="A77" s="153">
        <v>5</v>
      </c>
      <c r="B77" s="153"/>
      <c r="C77" s="12" t="s">
        <v>199</v>
      </c>
      <c r="D77" s="62">
        <v>1.45</v>
      </c>
    </row>
    <row r="78" spans="1:15" ht="25.5" customHeight="1" x14ac:dyDescent="0.2">
      <c r="A78" s="153">
        <v>6</v>
      </c>
      <c r="B78" s="153"/>
      <c r="C78" s="12" t="s">
        <v>118</v>
      </c>
      <c r="D78" s="62"/>
    </row>
    <row r="79" spans="1:15" ht="25.5" customHeight="1" x14ac:dyDescent="0.2">
      <c r="A79" s="153">
        <v>7</v>
      </c>
      <c r="B79" s="153"/>
      <c r="C79" s="12" t="s">
        <v>132</v>
      </c>
      <c r="D79" s="62">
        <v>0.15</v>
      </c>
    </row>
  </sheetData>
  <sheetProtection algorithmName="SHA-512" hashValue="DELihoFuZK8B3ow3Sam94Epv0qe1UaPrINZGYbt5W7kNhAfnClbixGs9KQO1dhTQeY3okvIULGk26vxdA4M2+g==" saltValue="i2qcq5A0XC+mSnzH7CobMw=="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fitToWidth="0" fitToHeight="0" orientation="portrait" r:id="rId1"/>
  <headerFooter alignWithMargins="0">
    <oddHeader>&amp;L&amp;F</oddHeader>
    <oddFooter>&amp;LStadt Lychen&amp;CSeite &amp;P von &amp;N&amp;RSVS UnterhaltsRG</oddFooter>
  </headerFooter>
  <rowBreaks count="1" manualBreakCount="1">
    <brk id="79" max="16383" man="1"/>
  </rowBreaks>
  <colBreaks count="1" manualBreakCount="1">
    <brk id="11" max="1048575" man="1"/>
  </colBreaks>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76" t="str">
        <f ca="1">IF(H61&lt;&gt;"","","Bitte alle gelben Zellen ausfüllen.")</f>
        <v>Bitte alle gelben Zellen ausfüllen.</v>
      </c>
      <c r="D1" s="21" t="b">
        <v>0</v>
      </c>
      <c r="E1" s="132"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2"/>
      <c r="G1" s="132"/>
      <c r="H1" s="132"/>
      <c r="I1" s="132"/>
      <c r="K1" s="5" t="s">
        <v>100</v>
      </c>
    </row>
    <row r="2" spans="1:11" ht="34.5" customHeight="1" x14ac:dyDescent="0.2">
      <c r="A2" s="3" t="s">
        <v>103</v>
      </c>
      <c r="C2" s="4" t="str">
        <f>IF(Inhaltsverzeichnis!$C$3="", "",Inhaltsverzeichnis!$C$3)</f>
        <v/>
      </c>
      <c r="D2" s="21" t="b">
        <v>0</v>
      </c>
      <c r="E2" s="132"/>
      <c r="F2" s="132"/>
      <c r="G2" s="132"/>
      <c r="H2" s="132"/>
      <c r="I2" s="132"/>
    </row>
    <row r="3" spans="1:11" s="2" customFormat="1" ht="12.75" x14ac:dyDescent="0.2">
      <c r="A3" s="150" t="s">
        <v>101</v>
      </c>
      <c r="B3" s="150"/>
      <c r="C3" s="150"/>
      <c r="D3" s="150"/>
      <c r="E3" s="150"/>
      <c r="F3" s="150"/>
      <c r="G3" s="150"/>
      <c r="H3" s="150"/>
      <c r="I3" s="150"/>
    </row>
    <row r="4" spans="1:11" x14ac:dyDescent="0.2">
      <c r="A4" s="77"/>
      <c r="B4" s="77"/>
      <c r="C4" s="77"/>
      <c r="D4" s="77"/>
      <c r="E4" s="77"/>
      <c r="F4" s="77"/>
      <c r="G4" s="77"/>
      <c r="H4" s="77"/>
      <c r="I4" s="77"/>
    </row>
    <row r="5" spans="1:11" ht="15" customHeight="1" x14ac:dyDescent="0.2">
      <c r="A5" s="78" t="s">
        <v>1</v>
      </c>
      <c r="B5" s="78" t="s">
        <v>2</v>
      </c>
      <c r="C5" s="78"/>
      <c r="D5" s="78"/>
      <c r="E5" s="78"/>
      <c r="F5" s="79">
        <v>100</v>
      </c>
      <c r="G5" s="78" t="s">
        <v>3</v>
      </c>
      <c r="H5" s="7">
        <v>15</v>
      </c>
      <c r="I5" s="78" t="s">
        <v>4</v>
      </c>
      <c r="K5" s="80"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77"/>
      <c r="B6" s="77"/>
      <c r="C6" s="77"/>
      <c r="D6" s="77"/>
      <c r="E6" s="77"/>
      <c r="F6" s="81"/>
      <c r="G6" s="77"/>
      <c r="H6" s="81"/>
      <c r="I6" s="77"/>
    </row>
    <row r="7" spans="1:11" x14ac:dyDescent="0.2">
      <c r="A7" s="78" t="s">
        <v>5</v>
      </c>
      <c r="B7" s="78" t="s">
        <v>6</v>
      </c>
      <c r="C7" s="78"/>
      <c r="D7" s="78"/>
      <c r="E7" s="78"/>
      <c r="F7" s="82"/>
      <c r="G7" s="78"/>
      <c r="H7" s="82"/>
      <c r="I7" s="78"/>
    </row>
    <row r="8" spans="1:11" ht="14.25" x14ac:dyDescent="0.2">
      <c r="A8" s="77" t="s">
        <v>7</v>
      </c>
      <c r="B8" s="77" t="s">
        <v>8</v>
      </c>
      <c r="C8" s="77"/>
      <c r="D8" s="77"/>
      <c r="E8" s="77"/>
      <c r="F8" s="82"/>
      <c r="G8" s="82"/>
      <c r="H8" s="82"/>
      <c r="I8" s="82"/>
      <c r="K8" s="83"/>
    </row>
    <row r="9" spans="1:11" x14ac:dyDescent="0.2">
      <c r="A9" s="77" t="s">
        <v>9</v>
      </c>
      <c r="B9" s="77"/>
      <c r="C9" s="77" t="s">
        <v>10</v>
      </c>
      <c r="D9" s="77"/>
      <c r="E9" s="77"/>
      <c r="F9" s="8"/>
      <c r="G9" s="77" t="s">
        <v>3</v>
      </c>
      <c r="H9" s="84" t="str">
        <f>IF(F9="","",ROUND(F9/100*$H$5,2))</f>
        <v/>
      </c>
      <c r="I9" s="77" t="s">
        <v>4</v>
      </c>
      <c r="K9" s="80" t="str">
        <f>IF(F9="","Bitte ausfüllen!","")</f>
        <v>Bitte ausfüllen!</v>
      </c>
    </row>
    <row r="10" spans="1:11" x14ac:dyDescent="0.2">
      <c r="A10" s="77" t="s">
        <v>11</v>
      </c>
      <c r="B10" s="77"/>
      <c r="C10" s="77" t="s">
        <v>12</v>
      </c>
      <c r="D10" s="77"/>
      <c r="E10" s="77"/>
      <c r="F10" s="8"/>
      <c r="G10" s="77" t="s">
        <v>3</v>
      </c>
      <c r="H10" s="84" t="str">
        <f>IF(F10="","",ROUND(F10/100*$H$5,2))</f>
        <v/>
      </c>
      <c r="I10" s="77" t="s">
        <v>4</v>
      </c>
      <c r="K10" s="80" t="str">
        <f>IF(F10="","Bitte ausfüllen!","")</f>
        <v>Bitte ausfüllen!</v>
      </c>
    </row>
    <row r="11" spans="1:11" x14ac:dyDescent="0.2">
      <c r="A11" s="77" t="s">
        <v>13</v>
      </c>
      <c r="B11" s="77"/>
      <c r="C11" s="77" t="s">
        <v>14</v>
      </c>
      <c r="D11" s="77"/>
      <c r="E11" s="77"/>
      <c r="F11" s="8"/>
      <c r="G11" s="77" t="s">
        <v>3</v>
      </c>
      <c r="H11" s="84" t="str">
        <f>IF(F11="","",ROUND(F11/100*$H$5,2))</f>
        <v/>
      </c>
      <c r="I11" s="77" t="s">
        <v>4</v>
      </c>
      <c r="K11" s="80" t="str">
        <f>IF(F11="","Bitte ausfüllen!","")</f>
        <v>Bitte ausfüllen!</v>
      </c>
    </row>
    <row r="12" spans="1:11" x14ac:dyDescent="0.2">
      <c r="A12" s="77" t="s">
        <v>15</v>
      </c>
      <c r="B12" s="77"/>
      <c r="C12" s="77" t="s">
        <v>16</v>
      </c>
      <c r="D12" s="77"/>
      <c r="E12" s="77"/>
      <c r="F12" s="8"/>
      <c r="G12" s="77" t="s">
        <v>3</v>
      </c>
      <c r="H12" s="84" t="str">
        <f>IF(F12="","",ROUND(F12/100*$H$5,2))</f>
        <v/>
      </c>
      <c r="I12" s="77" t="s">
        <v>4</v>
      </c>
      <c r="K12" s="80" t="str">
        <f>IF(F12="","Bitte ausfüllen!","")</f>
        <v>Bitte ausfüllen!</v>
      </c>
    </row>
    <row r="13" spans="1:11" x14ac:dyDescent="0.2">
      <c r="A13" s="77" t="s">
        <v>17</v>
      </c>
      <c r="B13" s="77"/>
      <c r="C13" s="77" t="s">
        <v>18</v>
      </c>
      <c r="D13" s="77"/>
      <c r="E13" s="77"/>
      <c r="F13" s="8"/>
      <c r="G13" s="77" t="s">
        <v>3</v>
      </c>
      <c r="H13" s="84" t="str">
        <f>IF(F13="","",ROUND(F13/100*$H$5,2))</f>
        <v/>
      </c>
      <c r="I13" s="77" t="s">
        <v>4</v>
      </c>
      <c r="K13" s="80" t="str">
        <f>IF(F13="","Bitte ausfüllen!","")</f>
        <v>Bitte ausfüllen!</v>
      </c>
    </row>
    <row r="14" spans="1:11" x14ac:dyDescent="0.2">
      <c r="A14" s="78"/>
      <c r="B14" s="78" t="s">
        <v>19</v>
      </c>
      <c r="C14" s="78"/>
      <c r="D14" s="78"/>
      <c r="E14" s="78"/>
      <c r="F14" s="85">
        <f>IF(SUM(F9:F13)=0,0,SUM(F9:F13))</f>
        <v>0</v>
      </c>
      <c r="G14" s="78" t="s">
        <v>3</v>
      </c>
      <c r="H14" s="86" t="str">
        <f>IF(COUNTIF(F9:F13,"")&gt;0,"",SUM(H8:H13))</f>
        <v/>
      </c>
      <c r="I14" s="78" t="s">
        <v>4</v>
      </c>
      <c r="K14" s="80" t="str">
        <f>IF(H14="","Angaben offen!","")</f>
        <v>Angaben offen!</v>
      </c>
    </row>
    <row r="15" spans="1:11" x14ac:dyDescent="0.2">
      <c r="A15" s="77"/>
      <c r="B15" s="77"/>
      <c r="C15" s="77"/>
      <c r="D15" s="77"/>
      <c r="E15" s="77"/>
      <c r="F15" s="81"/>
      <c r="G15" s="77"/>
      <c r="H15" s="81"/>
      <c r="I15" s="77"/>
    </row>
    <row r="16" spans="1:11" x14ac:dyDescent="0.2">
      <c r="A16" s="78" t="s">
        <v>20</v>
      </c>
      <c r="B16" s="78" t="s">
        <v>21</v>
      </c>
      <c r="C16" s="78"/>
      <c r="D16" s="78"/>
      <c r="E16" s="78"/>
      <c r="F16" s="82"/>
      <c r="G16" s="78"/>
      <c r="H16" s="82"/>
      <c r="I16" s="78"/>
    </row>
    <row r="17" spans="1:14" ht="11.25" x14ac:dyDescent="0.2">
      <c r="A17" s="77" t="s">
        <v>22</v>
      </c>
      <c r="B17" s="77" t="s">
        <v>121</v>
      </c>
      <c r="C17" s="77"/>
      <c r="D17" s="8">
        <f>D73+D77</f>
        <v>8.75</v>
      </c>
      <c r="E17" s="77" t="s">
        <v>3</v>
      </c>
      <c r="F17" s="81"/>
      <c r="G17" s="77"/>
      <c r="H17" s="81"/>
      <c r="I17" s="77"/>
      <c r="K17" s="80" t="str">
        <f ca="1">IF(D17&lt;(D73+D77),"Wert prüfen!",IF(H61="","Inhalt der gelben Zellen kann angepasst werden.",""))</f>
        <v>Inhalt der gelben Zellen kann angepasst werden.</v>
      </c>
    </row>
    <row r="18" spans="1:14" x14ac:dyDescent="0.2">
      <c r="A18" s="77"/>
      <c r="B18" s="77" t="s">
        <v>23</v>
      </c>
      <c r="C18" s="77"/>
      <c r="D18" s="87">
        <f>(D17/100)*$F$14</f>
        <v>0</v>
      </c>
      <c r="E18" s="77" t="s">
        <v>3</v>
      </c>
      <c r="F18" s="88">
        <f>IF(D18="","",D17+D18)</f>
        <v>8.75</v>
      </c>
      <c r="G18" s="77" t="s">
        <v>3</v>
      </c>
      <c r="H18" s="84">
        <f>IF(D18="","",ROUND(F18/100*$H$5,2))</f>
        <v>1.31</v>
      </c>
      <c r="I18" s="77" t="s">
        <v>4</v>
      </c>
      <c r="K18" s="80"/>
    </row>
    <row r="19" spans="1:14" ht="11.25" x14ac:dyDescent="0.2">
      <c r="A19" s="77" t="s">
        <v>24</v>
      </c>
      <c r="B19" s="77" t="s">
        <v>122</v>
      </c>
      <c r="C19" s="77"/>
      <c r="D19" s="8">
        <f>D74</f>
        <v>9.3000000000000007</v>
      </c>
      <c r="E19" s="77" t="s">
        <v>3</v>
      </c>
      <c r="F19" s="89"/>
      <c r="G19" s="77"/>
      <c r="H19" s="81"/>
      <c r="I19" s="77"/>
      <c r="K19" s="80" t="str">
        <f ca="1">IF(D19&lt;&gt;D74,"Wert prüfen!",IF(H61="","Inhalt der gelben Zellen kann angepasst werden.",""))</f>
        <v>Inhalt der gelben Zellen kann angepasst werden.</v>
      </c>
    </row>
    <row r="20" spans="1:14" x14ac:dyDescent="0.2">
      <c r="A20" s="77"/>
      <c r="B20" s="77" t="s">
        <v>25</v>
      </c>
      <c r="C20" s="77"/>
      <c r="D20" s="87">
        <f>(D19/100)*$F$14</f>
        <v>0</v>
      </c>
      <c r="E20" s="77" t="s">
        <v>3</v>
      </c>
      <c r="F20" s="88">
        <f>IF(D20="","",D19+D20)</f>
        <v>9.3000000000000007</v>
      </c>
      <c r="G20" s="77" t="s">
        <v>3</v>
      </c>
      <c r="H20" s="84">
        <f>IF(D20="","",ROUND(F20/100*$H$5,2))</f>
        <v>1.4</v>
      </c>
      <c r="I20" s="77" t="s">
        <v>4</v>
      </c>
      <c r="K20" s="80"/>
    </row>
    <row r="21" spans="1:14" ht="11.25" x14ac:dyDescent="0.2">
      <c r="A21" s="77" t="s">
        <v>26</v>
      </c>
      <c r="B21" s="77" t="s">
        <v>123</v>
      </c>
      <c r="C21" s="77"/>
      <c r="D21" s="8">
        <f>D75</f>
        <v>1.3</v>
      </c>
      <c r="E21" s="77" t="s">
        <v>3</v>
      </c>
      <c r="F21" s="89"/>
      <c r="G21" s="77"/>
      <c r="H21" s="81"/>
      <c r="I21" s="77"/>
      <c r="K21" s="80" t="str">
        <f ca="1">IF(D21&lt;&gt;D75,"Wert prüfen!",IF(H61="","Inhalt der gelben Zellen kann angepasst werden.",""))</f>
        <v>Inhalt der gelben Zellen kann angepasst werden.</v>
      </c>
    </row>
    <row r="22" spans="1:14" x14ac:dyDescent="0.2">
      <c r="A22" s="77"/>
      <c r="B22" s="77" t="s">
        <v>27</v>
      </c>
      <c r="C22" s="77"/>
      <c r="D22" s="87">
        <f>(D21/100)*$F$14</f>
        <v>0</v>
      </c>
      <c r="E22" s="77" t="s">
        <v>3</v>
      </c>
      <c r="F22" s="88">
        <f>IF(D22="","",D21+D22)</f>
        <v>1.3</v>
      </c>
      <c r="G22" s="77" t="s">
        <v>3</v>
      </c>
      <c r="H22" s="84">
        <f>IF(D22="","",ROUND(F22/100*$H$5,2))</f>
        <v>0.2</v>
      </c>
      <c r="I22" s="77" t="s">
        <v>4</v>
      </c>
      <c r="K22" s="80"/>
    </row>
    <row r="23" spans="1:14" ht="11.25" x14ac:dyDescent="0.2">
      <c r="A23" s="77" t="s">
        <v>28</v>
      </c>
      <c r="B23" s="77" t="s">
        <v>124</v>
      </c>
      <c r="C23" s="77"/>
      <c r="D23" s="8">
        <f>D76</f>
        <v>1.8</v>
      </c>
      <c r="E23" s="77" t="s">
        <v>3</v>
      </c>
      <c r="F23" s="89"/>
      <c r="G23" s="77"/>
      <c r="H23" s="81"/>
      <c r="I23" s="77"/>
      <c r="K23" s="80" t="str">
        <f ca="1">IF(D23&lt;&gt;D76,"Wert prüfen!",IF(H61="","Inhalt der gelben Zellen kann angepasst werden.",""))</f>
        <v>Inhalt der gelben Zellen kann angepasst werden.</v>
      </c>
      <c r="L23" s="20"/>
      <c r="M23" s="20"/>
      <c r="N23" s="20"/>
    </row>
    <row r="24" spans="1:14" x14ac:dyDescent="0.2">
      <c r="A24" s="77"/>
      <c r="B24" s="77" t="s">
        <v>29</v>
      </c>
      <c r="C24" s="77"/>
      <c r="D24" s="87">
        <f>(D23/100)*$F$14</f>
        <v>0</v>
      </c>
      <c r="E24" s="77" t="s">
        <v>3</v>
      </c>
      <c r="F24" s="88">
        <f>IF(D24="","",D23+D24)</f>
        <v>1.8</v>
      </c>
      <c r="G24" s="77" t="s">
        <v>3</v>
      </c>
      <c r="H24" s="84">
        <f>IF(D24="","",ROUND(F24/100*$H$5,2))</f>
        <v>0.27</v>
      </c>
      <c r="I24" s="77" t="s">
        <v>4</v>
      </c>
      <c r="K24" s="80"/>
    </row>
    <row r="25" spans="1:14" ht="11.25" x14ac:dyDescent="0.2">
      <c r="A25" s="77" t="s">
        <v>30</v>
      </c>
      <c r="B25" s="77" t="s">
        <v>125</v>
      </c>
      <c r="C25" s="77"/>
      <c r="D25" s="8"/>
      <c r="E25" s="77" t="s">
        <v>3</v>
      </c>
      <c r="F25" s="89"/>
      <c r="G25" s="77"/>
      <c r="H25" s="81"/>
      <c r="I25" s="77"/>
      <c r="K25" s="80" t="str">
        <f>IF(D25="","Bitte ausfüllen!","")</f>
        <v>Bitte ausfüllen!</v>
      </c>
    </row>
    <row r="26" spans="1:14" x14ac:dyDescent="0.2">
      <c r="A26" s="77"/>
      <c r="B26" s="77" t="s">
        <v>31</v>
      </c>
      <c r="C26" s="77"/>
      <c r="D26" s="87">
        <f>(D25/100)*$F$14</f>
        <v>0</v>
      </c>
      <c r="E26" s="77" t="s">
        <v>3</v>
      </c>
      <c r="F26" s="88">
        <f>IF(D26="","",D25+D26)</f>
        <v>0</v>
      </c>
      <c r="G26" s="77" t="s">
        <v>3</v>
      </c>
      <c r="H26" s="84">
        <f>IF(D26="","",ROUND(F26/100*$H$5,2))</f>
        <v>0</v>
      </c>
      <c r="I26" s="77" t="s">
        <v>4</v>
      </c>
      <c r="K26" s="80"/>
    </row>
    <row r="27" spans="1:14" ht="11.25" x14ac:dyDescent="0.2">
      <c r="A27" s="77" t="s">
        <v>32</v>
      </c>
      <c r="B27" s="77" t="s">
        <v>126</v>
      </c>
      <c r="C27" s="77"/>
      <c r="D27" s="77"/>
      <c r="E27" s="77"/>
      <c r="F27" s="8"/>
      <c r="G27" s="77" t="s">
        <v>3</v>
      </c>
      <c r="H27" s="84" t="str">
        <f>IF(F27="","",ROUND(F27/100*$H$5,2))</f>
        <v/>
      </c>
      <c r="I27" s="77" t="s">
        <v>4</v>
      </c>
      <c r="K27" s="80" t="str">
        <f>IF(F27="","Bitte ausfüllen!","")</f>
        <v>Bitte ausfüllen!</v>
      </c>
    </row>
    <row r="28" spans="1:14" ht="11.25" x14ac:dyDescent="0.2">
      <c r="A28" s="77" t="s">
        <v>33</v>
      </c>
      <c r="B28" s="77" t="s">
        <v>127</v>
      </c>
      <c r="C28" s="77"/>
      <c r="D28" s="77"/>
      <c r="E28" s="77"/>
      <c r="F28" s="8">
        <f>D79</f>
        <v>0.15</v>
      </c>
      <c r="G28" s="77" t="s">
        <v>3</v>
      </c>
      <c r="H28" s="84">
        <f>IF(F28="","",ROUND(F28/100*$H$5,2))</f>
        <v>0.02</v>
      </c>
      <c r="I28" s="77" t="s">
        <v>4</v>
      </c>
      <c r="K28" s="80" t="str">
        <f ca="1">IF(F28&lt;&gt;D79,"Wert prüfen!",IF(H61="","Inhalt der gelben Zellen kann angepasst werden.",""))</f>
        <v>Inhalt der gelben Zellen kann angepasst werden.</v>
      </c>
    </row>
    <row r="29" spans="1:14" ht="25.5" customHeight="1" x14ac:dyDescent="0.2">
      <c r="A29" s="78"/>
      <c r="B29" s="152" t="s">
        <v>34</v>
      </c>
      <c r="C29" s="152"/>
      <c r="D29" s="78"/>
      <c r="E29" s="78"/>
      <c r="F29" s="85">
        <f>IF(SUM(F17:F28)=0,0,SUM(F17:F28)+F14)</f>
        <v>21.3</v>
      </c>
      <c r="G29" s="78" t="s">
        <v>3</v>
      </c>
      <c r="H29" s="86" t="str">
        <f>IF(OR(COUNTIF(D17:D26,"")&gt;0,COUNTIF(F27:F28,"")&gt;0),"",SUM(H17:H28)+H14)</f>
        <v/>
      </c>
      <c r="I29" s="78" t="s">
        <v>4</v>
      </c>
      <c r="K29" s="80" t="str">
        <f>IF(H29="","Angaben offen!","")</f>
        <v>Angaben offen!</v>
      </c>
    </row>
    <row r="30" spans="1:14" x14ac:dyDescent="0.2">
      <c r="A30" s="77"/>
      <c r="B30" s="77"/>
      <c r="C30" s="77"/>
      <c r="D30" s="77"/>
      <c r="E30" s="77"/>
      <c r="F30" s="81"/>
      <c r="G30" s="77"/>
      <c r="H30" s="81"/>
      <c r="I30" s="77"/>
    </row>
    <row r="31" spans="1:14" x14ac:dyDescent="0.2">
      <c r="A31" s="77"/>
      <c r="B31" s="78" t="s">
        <v>35</v>
      </c>
      <c r="C31" s="77"/>
      <c r="D31" s="77"/>
      <c r="E31" s="77"/>
      <c r="F31" s="81"/>
      <c r="G31" s="77"/>
      <c r="H31" s="81"/>
      <c r="I31" s="77"/>
    </row>
    <row r="32" spans="1:14" x14ac:dyDescent="0.2">
      <c r="A32" s="77" t="s">
        <v>36</v>
      </c>
      <c r="B32" s="77" t="s">
        <v>37</v>
      </c>
      <c r="C32" s="77"/>
      <c r="D32" s="77"/>
      <c r="E32" s="77"/>
      <c r="F32" s="8"/>
      <c r="G32" s="77" t="s">
        <v>3</v>
      </c>
      <c r="H32" s="84" t="str">
        <f>IF(F32="","",ROUND(F32/100*$H$5,2))</f>
        <v/>
      </c>
      <c r="I32" s="77" t="s">
        <v>4</v>
      </c>
      <c r="K32" s="80" t="str">
        <f>IF(F32="","Bitte ausfüllen!","")</f>
        <v>Bitte ausfüllen!</v>
      </c>
    </row>
    <row r="33" spans="1:11" x14ac:dyDescent="0.2">
      <c r="A33" s="77" t="s">
        <v>38</v>
      </c>
      <c r="B33" s="77" t="s">
        <v>39</v>
      </c>
      <c r="C33" s="77"/>
      <c r="D33" s="77"/>
      <c r="E33" s="77"/>
      <c r="F33" s="8"/>
      <c r="G33" s="77" t="s">
        <v>3</v>
      </c>
      <c r="H33" s="84" t="str">
        <f>IF(F33="","",ROUND(F33/100*$H$5,2))</f>
        <v/>
      </c>
      <c r="I33" s="77" t="s">
        <v>4</v>
      </c>
      <c r="K33" s="80" t="str">
        <f>IF(F33="","Bitte ausfüllen!","")</f>
        <v>Bitte ausfüllen!</v>
      </c>
    </row>
    <row r="34" spans="1:11" ht="25.5" customHeight="1" x14ac:dyDescent="0.2">
      <c r="A34" s="78"/>
      <c r="B34" s="152" t="s">
        <v>40</v>
      </c>
      <c r="C34" s="152"/>
      <c r="D34" s="78"/>
      <c r="E34" s="78"/>
      <c r="F34" s="85">
        <f>IF(SUM(F32:F33)=0,0,SUM(F32:F33)+F29)</f>
        <v>0</v>
      </c>
      <c r="G34" s="78" t="s">
        <v>3</v>
      </c>
      <c r="H34" s="86" t="str">
        <f>IF(COUNTIF(H32:H33,"")&gt;0,"",SUM(H32:H33)+H29)</f>
        <v/>
      </c>
      <c r="I34" s="78" t="s">
        <v>4</v>
      </c>
      <c r="K34" s="80" t="str">
        <f>IF(H34="","Angaben offen!","")</f>
        <v>Angaben offen!</v>
      </c>
    </row>
    <row r="35" spans="1:11" x14ac:dyDescent="0.2">
      <c r="A35" s="77"/>
      <c r="B35" s="77"/>
      <c r="C35" s="77"/>
      <c r="D35" s="77"/>
      <c r="E35" s="77"/>
      <c r="F35" s="81"/>
      <c r="G35" s="77"/>
      <c r="H35" s="81"/>
      <c r="I35" s="77"/>
    </row>
    <row r="36" spans="1:11" x14ac:dyDescent="0.2">
      <c r="A36" s="78" t="s">
        <v>41</v>
      </c>
      <c r="B36" s="78" t="s">
        <v>42</v>
      </c>
      <c r="C36" s="78"/>
      <c r="D36" s="78"/>
      <c r="E36" s="78"/>
      <c r="F36" s="82"/>
      <c r="G36" s="78"/>
      <c r="H36" s="82"/>
      <c r="I36" s="78"/>
    </row>
    <row r="37" spans="1:11" x14ac:dyDescent="0.2">
      <c r="A37" s="77" t="s">
        <v>43</v>
      </c>
      <c r="B37" s="77" t="s">
        <v>44</v>
      </c>
      <c r="C37" s="77"/>
      <c r="D37" s="77"/>
      <c r="E37" s="77"/>
      <c r="F37" s="81"/>
      <c r="G37" s="77"/>
      <c r="H37" s="81"/>
      <c r="I37" s="77"/>
    </row>
    <row r="38" spans="1:11" x14ac:dyDescent="0.2">
      <c r="A38" s="77"/>
      <c r="B38" s="77" t="s">
        <v>45</v>
      </c>
      <c r="C38" s="77"/>
      <c r="D38" s="77"/>
      <c r="E38" s="77"/>
      <c r="F38" s="8"/>
      <c r="G38" s="77" t="s">
        <v>3</v>
      </c>
      <c r="H38" s="84" t="str">
        <f>IF(F38="","",ROUND(F38/100*$H$5,2))</f>
        <v/>
      </c>
      <c r="I38" s="77" t="s">
        <v>4</v>
      </c>
      <c r="K38" s="80" t="str">
        <f>IF(F38="","Bitte ausfüllen!","")</f>
        <v>Bitte ausfüllen!</v>
      </c>
    </row>
    <row r="39" spans="1:11" x14ac:dyDescent="0.2">
      <c r="A39" s="77" t="s">
        <v>46</v>
      </c>
      <c r="B39" s="77" t="s">
        <v>47</v>
      </c>
      <c r="C39" s="77"/>
      <c r="D39" s="77"/>
      <c r="E39" s="77"/>
      <c r="F39" s="8"/>
      <c r="G39" s="77" t="s">
        <v>3</v>
      </c>
      <c r="H39" s="84" t="str">
        <f>IF(F39="","",ROUND(F39/100*$H$5,2))</f>
        <v/>
      </c>
      <c r="I39" s="77" t="s">
        <v>4</v>
      </c>
      <c r="K39" s="80" t="str">
        <f>IF(F39="","Bitte ausfüllen!","")</f>
        <v>Bitte ausfüllen!</v>
      </c>
    </row>
    <row r="40" spans="1:11" x14ac:dyDescent="0.2">
      <c r="A40" s="77" t="s">
        <v>48</v>
      </c>
      <c r="B40" s="77" t="s">
        <v>49</v>
      </c>
      <c r="C40" s="77"/>
      <c r="D40" s="77"/>
      <c r="E40" s="77"/>
      <c r="F40" s="8"/>
      <c r="G40" s="77" t="s">
        <v>3</v>
      </c>
      <c r="H40" s="84" t="str">
        <f>IF(F40="","",ROUND(F40/100*$H$5,2))</f>
        <v/>
      </c>
      <c r="I40" s="77" t="s">
        <v>4</v>
      </c>
      <c r="K40" s="80" t="str">
        <f>IF(F40="","Bitte ausfüllen!","")</f>
        <v>Bitte ausfüllen!</v>
      </c>
    </row>
    <row r="41" spans="1:11" x14ac:dyDescent="0.2">
      <c r="A41" s="77" t="s">
        <v>50</v>
      </c>
      <c r="B41" s="77" t="s">
        <v>51</v>
      </c>
      <c r="C41" s="77"/>
      <c r="D41" s="77"/>
      <c r="E41" s="77"/>
      <c r="F41" s="8"/>
      <c r="G41" s="77" t="s">
        <v>3</v>
      </c>
      <c r="H41" s="84" t="str">
        <f>IF(F41="","",ROUND(F41/100*$H$5,2))</f>
        <v/>
      </c>
      <c r="I41" s="77" t="s">
        <v>4</v>
      </c>
      <c r="K41" s="80" t="str">
        <f>IF(F41="","Bitte ausfüllen!","")</f>
        <v>Bitte ausfüllen!</v>
      </c>
    </row>
    <row r="42" spans="1:11" ht="25.5" customHeight="1" x14ac:dyDescent="0.2">
      <c r="A42" s="78"/>
      <c r="B42" s="152" t="s">
        <v>52</v>
      </c>
      <c r="C42" s="152"/>
      <c r="D42" s="78"/>
      <c r="E42" s="78"/>
      <c r="F42" s="85">
        <f>IF(SUM(F38:F41)=0,0,SUM(F38:F41))</f>
        <v>0</v>
      </c>
      <c r="G42" s="78" t="s">
        <v>3</v>
      </c>
      <c r="H42" s="86" t="str">
        <f>IF(COUNTIF(H38:H41,"")&gt;0,"",SUM(H38:H41))</f>
        <v/>
      </c>
      <c r="I42" s="78" t="s">
        <v>4</v>
      </c>
      <c r="K42" s="80" t="str">
        <f>IF(H42="","Angaben offen!","")</f>
        <v>Angaben offen!</v>
      </c>
    </row>
    <row r="43" spans="1:11" x14ac:dyDescent="0.2">
      <c r="A43" s="77"/>
      <c r="B43" s="77"/>
      <c r="C43" s="77"/>
      <c r="D43" s="77"/>
      <c r="E43" s="77"/>
      <c r="F43" s="81"/>
      <c r="G43" s="77"/>
      <c r="H43" s="81"/>
      <c r="I43" s="77"/>
    </row>
    <row r="44" spans="1:11" x14ac:dyDescent="0.2">
      <c r="A44" s="78" t="s">
        <v>53</v>
      </c>
      <c r="B44" s="78" t="s">
        <v>54</v>
      </c>
      <c r="C44" s="78"/>
      <c r="D44" s="78"/>
      <c r="E44" s="78"/>
      <c r="F44" s="78"/>
      <c r="G44" s="78"/>
      <c r="H44" s="78"/>
      <c r="I44" s="78"/>
    </row>
    <row r="45" spans="1:11" x14ac:dyDescent="0.2">
      <c r="A45" s="77" t="s">
        <v>55</v>
      </c>
      <c r="B45" s="77" t="s">
        <v>56</v>
      </c>
      <c r="C45" s="77"/>
      <c r="D45" s="77"/>
      <c r="E45" s="77"/>
      <c r="F45" s="77"/>
      <c r="G45" s="77"/>
      <c r="H45" s="77"/>
      <c r="I45" s="77"/>
    </row>
    <row r="46" spans="1:11" x14ac:dyDescent="0.2">
      <c r="A46" s="77" t="s">
        <v>57</v>
      </c>
      <c r="B46" s="77"/>
      <c r="C46" s="77" t="s">
        <v>58</v>
      </c>
      <c r="D46" s="77"/>
      <c r="E46" s="77"/>
      <c r="F46" s="8"/>
      <c r="G46" s="77" t="s">
        <v>3</v>
      </c>
      <c r="H46" s="84" t="str">
        <f>IF(F46="","",ROUND(F46/100*$H$5,2))</f>
        <v/>
      </c>
      <c r="I46" s="77" t="s">
        <v>4</v>
      </c>
      <c r="K46" s="80" t="str">
        <f>IF(F46="","Bitte ausfüllen!","")</f>
        <v>Bitte ausfüllen!</v>
      </c>
    </row>
    <row r="47" spans="1:11" x14ac:dyDescent="0.2">
      <c r="A47" s="77" t="s">
        <v>59</v>
      </c>
      <c r="B47" s="77"/>
      <c r="C47" s="77" t="s">
        <v>120</v>
      </c>
      <c r="D47" s="77"/>
      <c r="E47" s="77"/>
      <c r="F47" s="8"/>
      <c r="G47" s="77" t="s">
        <v>3</v>
      </c>
      <c r="H47" s="84" t="str">
        <f>IF(F47="","",ROUND(F47/100*$H$5,2))</f>
        <v/>
      </c>
      <c r="I47" s="77" t="s">
        <v>4</v>
      </c>
      <c r="K47" s="80" t="str">
        <f>IF(F47="","Bitte ausfüllen!","")</f>
        <v>Bitte ausfüllen!</v>
      </c>
    </row>
    <row r="48" spans="1:11" x14ac:dyDescent="0.2">
      <c r="A48" s="77" t="s">
        <v>60</v>
      </c>
      <c r="B48" s="77" t="s">
        <v>61</v>
      </c>
      <c r="C48" s="77"/>
      <c r="D48" s="77"/>
      <c r="E48" s="77"/>
      <c r="F48" s="8"/>
      <c r="G48" s="77" t="s">
        <v>3</v>
      </c>
      <c r="H48" s="84" t="str">
        <f>IF(F48="","",ROUND(F48/100*$H$5,2))</f>
        <v/>
      </c>
      <c r="I48" s="77" t="s">
        <v>4</v>
      </c>
      <c r="K48" s="80" t="str">
        <f>IF(F48="","Bitte ausfüllen!","")</f>
        <v>Bitte ausfüllen!</v>
      </c>
    </row>
    <row r="49" spans="1:11" x14ac:dyDescent="0.2">
      <c r="A49" s="77" t="s">
        <v>62</v>
      </c>
      <c r="B49" s="77" t="s">
        <v>63</v>
      </c>
      <c r="C49" s="77"/>
      <c r="D49" s="77"/>
      <c r="E49" s="77"/>
      <c r="F49" s="77"/>
      <c r="G49" s="77"/>
      <c r="H49" s="77"/>
      <c r="I49" s="77"/>
    </row>
    <row r="50" spans="1:11" x14ac:dyDescent="0.2">
      <c r="A50" s="77" t="s">
        <v>64</v>
      </c>
      <c r="B50" s="77"/>
      <c r="C50" s="77" t="s">
        <v>65</v>
      </c>
      <c r="D50" s="77"/>
      <c r="E50" s="77"/>
      <c r="F50" s="8"/>
      <c r="G50" s="77" t="s">
        <v>3</v>
      </c>
      <c r="H50" s="84" t="str">
        <f t="shared" ref="H50:H56" si="0">IF(F50="","",ROUND(F50/100*$H$5,2))</f>
        <v/>
      </c>
      <c r="I50" s="77" t="s">
        <v>4</v>
      </c>
      <c r="K50" s="80" t="str">
        <f t="shared" ref="K50:K56" si="1">IF(F50="","Bitte ausfüllen!","")</f>
        <v>Bitte ausfüllen!</v>
      </c>
    </row>
    <row r="51" spans="1:11" x14ac:dyDescent="0.2">
      <c r="A51" s="77" t="s">
        <v>66</v>
      </c>
      <c r="B51" s="77"/>
      <c r="C51" s="77" t="s">
        <v>67</v>
      </c>
      <c r="D51" s="77"/>
      <c r="E51" s="77"/>
      <c r="F51" s="8"/>
      <c r="G51" s="77" t="s">
        <v>3</v>
      </c>
      <c r="H51" s="84" t="str">
        <f t="shared" si="0"/>
        <v/>
      </c>
      <c r="I51" s="77" t="s">
        <v>4</v>
      </c>
      <c r="K51" s="80" t="str">
        <f t="shared" si="1"/>
        <v>Bitte ausfüllen!</v>
      </c>
    </row>
    <row r="52" spans="1:11" x14ac:dyDescent="0.2">
      <c r="A52" s="77" t="s">
        <v>68</v>
      </c>
      <c r="B52" s="77" t="s">
        <v>69</v>
      </c>
      <c r="C52" s="77"/>
      <c r="D52" s="77"/>
      <c r="E52" s="77"/>
      <c r="F52" s="8"/>
      <c r="G52" s="77" t="s">
        <v>3</v>
      </c>
      <c r="H52" s="84" t="str">
        <f t="shared" si="0"/>
        <v/>
      </c>
      <c r="I52" s="77" t="s">
        <v>4</v>
      </c>
      <c r="K52" s="80" t="str">
        <f t="shared" si="1"/>
        <v>Bitte ausfüllen!</v>
      </c>
    </row>
    <row r="53" spans="1:11" x14ac:dyDescent="0.2">
      <c r="A53" s="77" t="s">
        <v>70</v>
      </c>
      <c r="B53" s="77" t="s">
        <v>71</v>
      </c>
      <c r="C53" s="77"/>
      <c r="D53" s="77"/>
      <c r="E53" s="77"/>
      <c r="F53" s="8"/>
      <c r="G53" s="77" t="s">
        <v>3</v>
      </c>
      <c r="H53" s="84" t="str">
        <f t="shared" si="0"/>
        <v/>
      </c>
      <c r="I53" s="77" t="s">
        <v>4</v>
      </c>
      <c r="K53" s="80" t="str">
        <f t="shared" si="1"/>
        <v>Bitte ausfüllen!</v>
      </c>
    </row>
    <row r="54" spans="1:11" x14ac:dyDescent="0.2">
      <c r="A54" s="77" t="s">
        <v>72</v>
      </c>
      <c r="B54" s="77" t="s">
        <v>73</v>
      </c>
      <c r="C54" s="77"/>
      <c r="D54" s="77"/>
      <c r="E54" s="77"/>
      <c r="F54" s="8"/>
      <c r="G54" s="77" t="s">
        <v>3</v>
      </c>
      <c r="H54" s="84" t="str">
        <f t="shared" si="0"/>
        <v/>
      </c>
      <c r="I54" s="77" t="s">
        <v>4</v>
      </c>
      <c r="K54" s="80" t="str">
        <f t="shared" si="1"/>
        <v>Bitte ausfüllen!</v>
      </c>
    </row>
    <row r="55" spans="1:11" x14ac:dyDescent="0.2">
      <c r="A55" s="77" t="s">
        <v>74</v>
      </c>
      <c r="B55" s="77" t="s">
        <v>75</v>
      </c>
      <c r="C55" s="77"/>
      <c r="D55" s="77"/>
      <c r="E55" s="77"/>
      <c r="F55" s="8"/>
      <c r="G55" s="77" t="s">
        <v>3</v>
      </c>
      <c r="H55" s="84" t="str">
        <f t="shared" si="0"/>
        <v/>
      </c>
      <c r="I55" s="77" t="s">
        <v>4</v>
      </c>
      <c r="K55" s="80" t="str">
        <f t="shared" si="1"/>
        <v>Bitte ausfüllen!</v>
      </c>
    </row>
    <row r="56" spans="1:11" x14ac:dyDescent="0.2">
      <c r="A56" s="77" t="s">
        <v>76</v>
      </c>
      <c r="B56" s="77" t="s">
        <v>77</v>
      </c>
      <c r="C56" s="77"/>
      <c r="D56" s="77"/>
      <c r="E56" s="77"/>
      <c r="F56" s="8"/>
      <c r="G56" s="77" t="s">
        <v>3</v>
      </c>
      <c r="H56" s="84" t="str">
        <f t="shared" si="0"/>
        <v/>
      </c>
      <c r="I56" s="77" t="s">
        <v>4</v>
      </c>
      <c r="K56" s="80" t="str">
        <f t="shared" si="1"/>
        <v>Bitte ausfüllen!</v>
      </c>
    </row>
    <row r="57" spans="1:11" ht="25.5" customHeight="1" x14ac:dyDescent="0.2">
      <c r="A57" s="78"/>
      <c r="B57" s="152" t="s">
        <v>78</v>
      </c>
      <c r="C57" s="152"/>
      <c r="D57" s="78"/>
      <c r="E57" s="78"/>
      <c r="F57" s="85">
        <f>IF(SUM(F45:F56)=0,0,SUM(F45:F56))</f>
        <v>0</v>
      </c>
      <c r="G57" s="78" t="s">
        <v>3</v>
      </c>
      <c r="H57" s="86" t="str">
        <f>IF(COUNTIF(H46:H56,"")&gt;1,"",SUM(H46:H56))</f>
        <v/>
      </c>
      <c r="I57" s="78" t="s">
        <v>4</v>
      </c>
      <c r="K57" s="80" t="str">
        <f>IF(H57="","Angaben offen!","")</f>
        <v>Angaben offen!</v>
      </c>
    </row>
    <row r="58" spans="1:11" x14ac:dyDescent="0.2">
      <c r="A58" s="77"/>
      <c r="B58" s="77"/>
      <c r="C58" s="77"/>
      <c r="D58" s="77"/>
      <c r="E58" s="77"/>
      <c r="F58" s="81"/>
      <c r="G58" s="77"/>
      <c r="H58" s="81"/>
      <c r="I58" s="77"/>
    </row>
    <row r="59" spans="1:11" x14ac:dyDescent="0.2">
      <c r="A59" s="78" t="s">
        <v>79</v>
      </c>
      <c r="B59" s="151" t="s">
        <v>80</v>
      </c>
      <c r="C59" s="151"/>
      <c r="D59" s="78"/>
      <c r="E59" s="78"/>
      <c r="F59" s="90">
        <f>IF(AND(F34=""),0,F34+F42+F57+F5)</f>
        <v>100</v>
      </c>
      <c r="G59" s="78" t="s">
        <v>3</v>
      </c>
      <c r="H59" s="82" t="str">
        <f>IF(H57="","",H34+H42+H57+H5)</f>
        <v/>
      </c>
      <c r="I59" s="78" t="s">
        <v>4</v>
      </c>
    </row>
    <row r="60" spans="1:11" x14ac:dyDescent="0.2">
      <c r="A60" s="78" t="s">
        <v>81</v>
      </c>
      <c r="B60" s="78" t="s">
        <v>82</v>
      </c>
      <c r="C60" s="78"/>
      <c r="D60" s="78"/>
      <c r="E60" s="78"/>
      <c r="F60" s="8"/>
      <c r="G60" s="78" t="s">
        <v>3</v>
      </c>
      <c r="H60" s="86" t="str">
        <f>IF(F60="","",ROUND(F60/100*H59,2))</f>
        <v/>
      </c>
      <c r="I60" s="78" t="s">
        <v>4</v>
      </c>
      <c r="K60" s="80" t="str">
        <f>IF(F60="","Bitte ausfüllen!","")</f>
        <v>Bitte ausfüllen!</v>
      </c>
    </row>
    <row r="61" spans="1:11" x14ac:dyDescent="0.2">
      <c r="A61" s="78"/>
      <c r="B61" s="78" t="s">
        <v>83</v>
      </c>
      <c r="C61" s="78"/>
      <c r="D61" s="78"/>
      <c r="E61" s="78"/>
      <c r="F61" s="85">
        <f ca="1">IF(H61="",0,H61/H5*100)</f>
        <v>0</v>
      </c>
      <c r="G61" s="78" t="s">
        <v>3</v>
      </c>
      <c r="H61" s="86" t="str">
        <f ca="1">IF(SUM(COUNTIF(INDIRECT({"H5","F9:F13","D17:D26","F27:F28","F32:F33","F38:F41","F46:F48","F50:F56","F60","H65:H68"}),""))&gt;0,"",H59+H60)</f>
        <v/>
      </c>
      <c r="I61" s="78" t="s">
        <v>4</v>
      </c>
      <c r="K61" s="80" t="str">
        <f ca="1">IF(SUM(COUNTIF(INDIRECT({"H5","F9:F13","D17:D26","F27:F28","F32:F33","F38:F41","F46:F48","F50:F56","F60","H65:H68"}),""))&gt;0,SUM(COUNTIF(INDIRECT({"H5","F9:F13","D17:D26","F27:F28","F32:F33","F38:F41","F46:F48","F50:F56","F60","H65:H68"}),"")) &amp;" Zelle(n) ohne Wert!","")</f>
        <v>28 Zelle(n) ohne Wert!</v>
      </c>
    </row>
    <row r="62" spans="1:11" x14ac:dyDescent="0.2">
      <c r="A62" s="77"/>
      <c r="B62" s="77" t="s">
        <v>84</v>
      </c>
      <c r="C62" s="77"/>
      <c r="D62" s="77"/>
      <c r="E62" s="77"/>
      <c r="F62" s="85">
        <f ca="1">IF(F61=0,0,F61-F5)</f>
        <v>0</v>
      </c>
      <c r="G62" s="77" t="s">
        <v>3</v>
      </c>
      <c r="H62" s="77"/>
      <c r="I62" s="77"/>
      <c r="K62" s="80" t="str">
        <f ca="1">IF(F62&lt;70,"Bitte prüfen gemäß Aufforderung!","")</f>
        <v>Bitte prüfen gemäß Aufforderung!</v>
      </c>
    </row>
    <row r="63" spans="1:11" x14ac:dyDescent="0.2">
      <c r="A63" s="77"/>
      <c r="B63" s="77"/>
      <c r="C63" s="77"/>
      <c r="D63" s="77"/>
      <c r="E63" s="77"/>
      <c r="F63" s="77"/>
      <c r="G63" s="77"/>
      <c r="H63" s="77"/>
      <c r="I63" s="77"/>
    </row>
    <row r="64" spans="1:11" x14ac:dyDescent="0.2">
      <c r="B64" s="78" t="s">
        <v>85</v>
      </c>
      <c r="D64" s="78"/>
      <c r="E64" s="78"/>
      <c r="G64" s="78"/>
      <c r="H64" s="82" t="s">
        <v>86</v>
      </c>
    </row>
    <row r="65" spans="1:11" x14ac:dyDescent="0.2">
      <c r="B65" s="77" t="s">
        <v>87</v>
      </c>
      <c r="D65" s="77"/>
      <c r="E65" s="77"/>
      <c r="G65" s="91"/>
      <c r="H65" s="9"/>
      <c r="K65" s="80" t="str">
        <f>IF(H65="","Bitte ausfüllen!","")</f>
        <v>Bitte ausfüllen!</v>
      </c>
    </row>
    <row r="66" spans="1:11" x14ac:dyDescent="0.2">
      <c r="B66" s="77" t="s">
        <v>88</v>
      </c>
      <c r="D66" s="77"/>
      <c r="E66" s="77"/>
      <c r="G66" s="91"/>
      <c r="H66" s="10"/>
      <c r="K66" s="80" t="str">
        <f>IF(H66="","Bitte ausfüllen!","")</f>
        <v>Bitte ausfüllen!</v>
      </c>
    </row>
    <row r="67" spans="1:11" x14ac:dyDescent="0.2">
      <c r="B67" s="77" t="s">
        <v>89</v>
      </c>
      <c r="D67" s="77"/>
      <c r="E67" s="77"/>
      <c r="G67" s="91"/>
      <c r="H67" s="11"/>
      <c r="K67" s="80" t="str">
        <f>IF(H67="","Bitte ausfüllen!","")</f>
        <v>Bitte ausfüllen!</v>
      </c>
    </row>
    <row r="68" spans="1:11" x14ac:dyDescent="0.2">
      <c r="B68" s="77" t="s">
        <v>90</v>
      </c>
      <c r="D68" s="77"/>
      <c r="E68" s="77"/>
      <c r="G68" s="91"/>
      <c r="H68" s="10"/>
      <c r="K68" s="80" t="str">
        <f>IF(H68="","Bitte ausfüllen!","")</f>
        <v>Bitte ausfüllen!</v>
      </c>
    </row>
    <row r="70" spans="1:11" x14ac:dyDescent="0.2">
      <c r="C70" s="60"/>
      <c r="D70" s="4"/>
    </row>
    <row r="71" spans="1:11" ht="15.95" customHeight="1" x14ac:dyDescent="0.2">
      <c r="A71" s="142" t="s">
        <v>195</v>
      </c>
      <c r="B71" s="142"/>
      <c r="C71" s="142"/>
      <c r="D71" s="142" t="s">
        <v>198</v>
      </c>
      <c r="F71" s="144" t="s">
        <v>133</v>
      </c>
      <c r="G71" s="145"/>
      <c r="H71" s="146"/>
    </row>
    <row r="72" spans="1:11" ht="15.95" customHeight="1" x14ac:dyDescent="0.2">
      <c r="A72" s="143"/>
      <c r="B72" s="143"/>
      <c r="C72" s="143"/>
      <c r="D72" s="143"/>
      <c r="F72" s="147"/>
      <c r="G72" s="148"/>
      <c r="H72" s="149"/>
      <c r="I72" s="78"/>
      <c r="J72" s="78"/>
      <c r="K72" s="78"/>
    </row>
    <row r="73" spans="1:11" ht="19.899999999999999" customHeight="1" x14ac:dyDescent="0.2">
      <c r="A73" s="153">
        <v>1</v>
      </c>
      <c r="B73" s="153"/>
      <c r="C73" s="12" t="s">
        <v>128</v>
      </c>
      <c r="D73" s="62">
        <v>7.3</v>
      </c>
      <c r="F73" s="154" t="s">
        <v>328</v>
      </c>
      <c r="G73" s="154"/>
      <c r="H73" s="154"/>
    </row>
    <row r="74" spans="1:11" ht="19.899999999999999" customHeight="1" x14ac:dyDescent="0.2">
      <c r="A74" s="153">
        <v>2</v>
      </c>
      <c r="B74" s="153"/>
      <c r="C74" s="12" t="s">
        <v>129</v>
      </c>
      <c r="D74" s="62">
        <v>9.3000000000000007</v>
      </c>
    </row>
    <row r="75" spans="1:11" ht="24" customHeight="1" x14ac:dyDescent="0.2">
      <c r="A75" s="153">
        <v>3</v>
      </c>
      <c r="B75" s="153"/>
      <c r="C75" s="12" t="s">
        <v>130</v>
      </c>
      <c r="D75" s="62">
        <v>1.3</v>
      </c>
    </row>
    <row r="76" spans="1:11" ht="24" customHeight="1" x14ac:dyDescent="0.2">
      <c r="A76" s="153">
        <v>4</v>
      </c>
      <c r="B76" s="153"/>
      <c r="C76" s="12" t="s">
        <v>131</v>
      </c>
      <c r="D76" s="62">
        <f>IF( F73="Sachsen",1.3,1.8)</f>
        <v>1.8</v>
      </c>
    </row>
    <row r="77" spans="1:11" ht="31.5" x14ac:dyDescent="0.2">
      <c r="A77" s="153">
        <v>5</v>
      </c>
      <c r="B77" s="153"/>
      <c r="C77" s="12" t="s">
        <v>199</v>
      </c>
      <c r="D77" s="62">
        <v>1.45</v>
      </c>
    </row>
    <row r="78" spans="1:11" ht="24" customHeight="1" x14ac:dyDescent="0.2">
      <c r="A78" s="153">
        <v>6</v>
      </c>
      <c r="B78" s="153"/>
      <c r="C78" s="12" t="s">
        <v>118</v>
      </c>
      <c r="D78" s="62"/>
    </row>
    <row r="79" spans="1:11" ht="24" customHeight="1" x14ac:dyDescent="0.2">
      <c r="A79" s="153">
        <v>7</v>
      </c>
      <c r="B79" s="153"/>
      <c r="C79" s="12" t="s">
        <v>132</v>
      </c>
      <c r="D79" s="62">
        <v>0.15</v>
      </c>
    </row>
  </sheetData>
  <sheetProtection algorithmName="SHA-512" hashValue="q/c/KbTPQNxHjuZv/hvVIssB9uVQukE8HvZvt+o87TuirVRK+z5iuKCYSakSJGxo/5TvT3xf5TBvp+N3RZBuxg==" saltValue="z41PA0ZEBtqt9pQWRZ3rVg==" spinCount="100000" sheet="1" objects="1" scenarios="1"/>
  <mergeCells count="18">
    <mergeCell ref="A78:B78"/>
    <mergeCell ref="A79:B79"/>
    <mergeCell ref="F73:H73"/>
    <mergeCell ref="A73:B73"/>
    <mergeCell ref="A74:B74"/>
    <mergeCell ref="A75:B75"/>
    <mergeCell ref="A76:B76"/>
    <mergeCell ref="A77:B77"/>
    <mergeCell ref="A71:C72"/>
    <mergeCell ref="D71:D72"/>
    <mergeCell ref="F71:H72"/>
    <mergeCell ref="E1:I2"/>
    <mergeCell ref="A3:I3"/>
    <mergeCell ref="B59:C59"/>
    <mergeCell ref="B29:C29"/>
    <mergeCell ref="B34:C34"/>
    <mergeCell ref="B42:C42"/>
    <mergeCell ref="B57:C5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fitToWidth="0" fitToHeight="0" orientation="portrait" r:id="rId1"/>
  <headerFooter alignWithMargins="0">
    <oddHeader>&amp;L&amp;F</oddHeader>
    <oddFooter>&amp;LStadt Lychen&amp;CSeite &amp;P von &amp;N&amp;RSVS GrundRG</oddFooter>
  </headerFooter>
  <rowBreaks count="1" manualBreakCount="1">
    <brk id="79" max="16383" man="1"/>
  </rowBreaks>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33274-4CA1-41E1-979A-EB141E77F10A}">
  <sheetPr codeName="Tabelle20">
    <tabColor indexed="40"/>
  </sheetPr>
  <dimension ref="A1:V80"/>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7" t="s">
        <v>151</v>
      </c>
      <c r="B2" s="158"/>
      <c r="C2" s="158"/>
      <c r="D2" s="158" t="b">
        <v>0</v>
      </c>
      <c r="E2" s="159"/>
      <c r="G2" s="160" t="s">
        <v>164</v>
      </c>
      <c r="H2" s="160" t="s">
        <v>156</v>
      </c>
      <c r="I2" s="160" t="s">
        <v>157</v>
      </c>
      <c r="J2" s="160" t="s">
        <v>176</v>
      </c>
      <c r="M2" s="21"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1" customHeight="1" x14ac:dyDescent="0.2">
      <c r="A3" s="93" t="s">
        <v>152</v>
      </c>
      <c r="B3" s="94"/>
      <c r="C3" s="94"/>
      <c r="D3" s="94"/>
      <c r="E3" s="95"/>
      <c r="G3" s="161"/>
      <c r="H3" s="161" t="b">
        <v>0</v>
      </c>
      <c r="I3" s="161"/>
      <c r="J3" s="161"/>
      <c r="M3" s="21" t="b">
        <v>0</v>
      </c>
      <c r="N3" s="132"/>
      <c r="O3" s="132"/>
      <c r="P3" s="132"/>
      <c r="Q3" s="132"/>
    </row>
    <row r="4" spans="1:22" ht="15" customHeight="1" x14ac:dyDescent="0.2">
      <c r="A4" s="155" t="s">
        <v>91</v>
      </c>
      <c r="B4" s="165" t="str">
        <f>IF(Inhaltsverzeichnis!C3="","",Inhaltsverzeichnis!C3)</f>
        <v/>
      </c>
      <c r="C4" s="166"/>
      <c r="D4" s="166"/>
      <c r="E4" s="167"/>
      <c r="G4" s="96" t="s">
        <v>237</v>
      </c>
      <c r="H4" s="97"/>
      <c r="I4" s="98">
        <f ca="1">SUMIF('Kal Unter GS Pannwitz'!J22:M80,$G$4,'Kal Unter GS Pannwitz'!M22:M80)</f>
        <v>10426.06</v>
      </c>
      <c r="J4" s="69">
        <f>COUNTIFS('Kal Unter GS Pannwitz'!J22:M80,$G$4)</f>
        <v>3</v>
      </c>
      <c r="M4" s="21" t="b">
        <v>0</v>
      </c>
      <c r="N4" s="132"/>
      <c r="O4" s="132"/>
      <c r="P4" s="132"/>
      <c r="Q4" s="132"/>
      <c r="U4" s="96" t="s">
        <v>237</v>
      </c>
      <c r="V4" s="3">
        <v>195</v>
      </c>
    </row>
    <row r="5" spans="1:22" ht="15" customHeight="1" x14ac:dyDescent="0.2">
      <c r="A5" s="156"/>
      <c r="B5" s="168"/>
      <c r="C5" s="169"/>
      <c r="D5" s="169"/>
      <c r="E5" s="170"/>
      <c r="G5" s="96" t="s">
        <v>261</v>
      </c>
      <c r="H5" s="97"/>
      <c r="I5" s="98">
        <f ca="1">SUMIF('Kal Unter GS Pannwitz'!J22:M80,$G$5,'Kal Unter GS Pannwitz'!M22:M80)</f>
        <v>4754.1000000000004</v>
      </c>
      <c r="J5" s="69">
        <f>COUNTIFS('Kal Unter GS Pannwitz'!J22:M80,$G$5)</f>
        <v>4</v>
      </c>
      <c r="M5" s="21" t="b">
        <v>0</v>
      </c>
      <c r="N5" s="132"/>
      <c r="O5" s="132"/>
      <c r="P5" s="132"/>
      <c r="Q5" s="132"/>
      <c r="U5" s="96" t="s">
        <v>261</v>
      </c>
      <c r="V5" s="3">
        <v>215</v>
      </c>
    </row>
    <row r="6" spans="1:22" ht="15" customHeight="1" x14ac:dyDescent="0.2">
      <c r="A6" s="99" t="s">
        <v>174</v>
      </c>
      <c r="B6" s="171" t="s">
        <v>201</v>
      </c>
      <c r="C6" s="172"/>
      <c r="D6" s="172"/>
      <c r="E6" s="173"/>
      <c r="G6" s="96" t="s">
        <v>259</v>
      </c>
      <c r="H6" s="97"/>
      <c r="I6" s="98">
        <f ca="1">SUMIF('Kal Unter GS Pannwitz'!J22:M80,$G$6,'Kal Unter GS Pannwitz'!M22:M80)</f>
        <v>15082.560000000001</v>
      </c>
      <c r="J6" s="69">
        <f>COUNTIFS('Kal Unter GS Pannwitz'!J22:M80,$G$6)</f>
        <v>8</v>
      </c>
      <c r="U6" s="96" t="s">
        <v>259</v>
      </c>
      <c r="V6" s="3">
        <v>75</v>
      </c>
    </row>
    <row r="7" spans="1:22" ht="15" customHeight="1" x14ac:dyDescent="0.2">
      <c r="A7" s="100" t="s">
        <v>172</v>
      </c>
      <c r="B7" s="174" t="s">
        <v>202</v>
      </c>
      <c r="C7" s="172"/>
      <c r="D7" s="172"/>
      <c r="E7" s="173"/>
      <c r="G7" s="96" t="s">
        <v>262</v>
      </c>
      <c r="H7" s="97"/>
      <c r="I7" s="98">
        <f ca="1">SUMIF('Kal Unter GS Pannwitz'!J22:M80,$G$7,'Kal Unter GS Pannwitz'!M22:M80)</f>
        <v>268.87</v>
      </c>
      <c r="J7" s="69">
        <f>COUNTIFS('Kal Unter GS Pannwitz'!J22:M80,$G$7)</f>
        <v>3</v>
      </c>
      <c r="U7" s="96" t="s">
        <v>262</v>
      </c>
      <c r="V7" s="3">
        <v>300</v>
      </c>
    </row>
    <row r="8" spans="1:22" ht="15" customHeight="1" x14ac:dyDescent="0.2">
      <c r="A8" s="100" t="s">
        <v>173</v>
      </c>
      <c r="B8" s="171" t="s">
        <v>203</v>
      </c>
      <c r="C8" s="172"/>
      <c r="D8" s="172"/>
      <c r="E8" s="173"/>
      <c r="G8" s="96" t="s">
        <v>223</v>
      </c>
      <c r="H8" s="97"/>
      <c r="I8" s="98">
        <f ca="1">SUMIF('Kal Unter GS Pannwitz'!J22:M80,$G$8,'Kal Unter GS Pannwitz'!M22:M80)</f>
        <v>24958.999999999996</v>
      </c>
      <c r="J8" s="69">
        <f>COUNTIFS('Kal Unter GS Pannwitz'!J22:M80,$G$8)</f>
        <v>12</v>
      </c>
      <c r="U8" s="96" t="s">
        <v>223</v>
      </c>
      <c r="V8" s="3">
        <v>165</v>
      </c>
    </row>
    <row r="9" spans="1:22" ht="15" customHeight="1" x14ac:dyDescent="0.2">
      <c r="A9" s="99" t="s">
        <v>171</v>
      </c>
      <c r="B9" s="175" t="s">
        <v>200</v>
      </c>
      <c r="C9" s="172"/>
      <c r="D9" s="172"/>
      <c r="E9" s="173"/>
      <c r="G9" s="96" t="s">
        <v>258</v>
      </c>
      <c r="H9" s="97"/>
      <c r="I9" s="98">
        <f ca="1">SUMIF('Kal Unter GS Pannwitz'!J22:M80,$G$9,'Kal Unter GS Pannwitz'!M22:M80)</f>
        <v>145058.97999999998</v>
      </c>
      <c r="J9" s="69">
        <f>COUNTIFS('Kal Unter GS Pannwitz'!J22:M80,$G$9)</f>
        <v>19</v>
      </c>
      <c r="U9" s="96" t="s">
        <v>258</v>
      </c>
      <c r="V9" s="3">
        <v>240</v>
      </c>
    </row>
    <row r="10" spans="1:22" ht="15" customHeight="1" x14ac:dyDescent="0.2">
      <c r="A10" s="100" t="s">
        <v>153</v>
      </c>
      <c r="B10" s="171" t="s">
        <v>204</v>
      </c>
      <c r="C10" s="172"/>
      <c r="D10" s="172"/>
      <c r="E10" s="173"/>
      <c r="G10" s="96" t="s">
        <v>260</v>
      </c>
      <c r="H10" s="97"/>
      <c r="I10" s="98">
        <f ca="1">SUMIF('Kal Unter GS Pannwitz'!J22:M80,$G$10,'Kal Unter GS Pannwitz'!M22:M80)</f>
        <v>62381.229999999996</v>
      </c>
      <c r="J10" s="69">
        <f>COUNTIFS('Kal Unter GS Pannwitz'!J22:M80,$G$10)</f>
        <v>7</v>
      </c>
      <c r="U10" s="96" t="s">
        <v>260</v>
      </c>
      <c r="V10" s="3">
        <v>450</v>
      </c>
    </row>
    <row r="11" spans="1:22" ht="15" customHeight="1" x14ac:dyDescent="0.2">
      <c r="A11" s="100" t="s">
        <v>154</v>
      </c>
      <c r="B11" s="176" t="s">
        <v>205</v>
      </c>
      <c r="C11" s="172"/>
      <c r="D11" s="172"/>
      <c r="E11" s="173"/>
      <c r="G11" s="96" t="s">
        <v>263</v>
      </c>
      <c r="H11" s="97"/>
      <c r="I11" s="98">
        <f ca="1">SUMIF('Kal Unter GS Pannwitz'!J22:M80,$G$11,'Kal Unter GS Pannwitz'!M22:M80)</f>
        <v>12933.91</v>
      </c>
      <c r="J11" s="69">
        <f>COUNTIFS('Kal Unter GS Pannwitz'!J22:M80,$G$11)</f>
        <v>3</v>
      </c>
      <c r="M11" s="3" t="str">
        <f>IF(N13&gt;0,"Bitte die Leistungswerte im Leistungsverzeichnis/ Tabellenblatt Leistungsrichtwerte","")</f>
        <v/>
      </c>
      <c r="U11" s="96" t="s">
        <v>263</v>
      </c>
      <c r="V11" s="3">
        <v>115</v>
      </c>
    </row>
    <row r="12" spans="1:22" ht="15" customHeight="1" x14ac:dyDescent="0.2">
      <c r="A12" s="100" t="s">
        <v>155</v>
      </c>
      <c r="B12" s="171" t="s">
        <v>206</v>
      </c>
      <c r="C12" s="172"/>
      <c r="D12" s="172"/>
      <c r="E12" s="173"/>
      <c r="M12" s="3" t="str">
        <f>IF(N13&gt;0,"für die Objektart prüfen.","")</f>
        <v/>
      </c>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c r="N13" s="101">
        <f>COUNTIF(V22:V$80,1)</f>
        <v>0</v>
      </c>
      <c r="O13" s="3" t="str">
        <f>IF(N13&gt;0,"Wert(e) überschritten, bitte mit dem Angebot plausibel darlegen.","")</f>
        <v/>
      </c>
    </row>
    <row r="14" spans="1:22" ht="15" customHeight="1" x14ac:dyDescent="0.2">
      <c r="N14" s="102">
        <f>COUNTIF(V22:V$80,0)</f>
        <v>59</v>
      </c>
      <c r="O14" s="3" t="str">
        <f>IF(N14&gt;0,"Wert(e) korrekt","")</f>
        <v>Wert(e) korrekt</v>
      </c>
      <c r="T14" s="103">
        <f>IF(COUNTA($T$22:$T$80)-COUNTBLANK($T$22:$T$80)=0,"",COUNTA($T$22:$T$80)-COUNTBLANK($T$22:$T$80))</f>
        <v>56</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135</v>
      </c>
      <c r="M20" s="1" t="s">
        <v>109</v>
      </c>
      <c r="N20" s="1" t="s">
        <v>105</v>
      </c>
      <c r="O20" s="1" t="s">
        <v>110</v>
      </c>
      <c r="P20" s="1" t="s">
        <v>111</v>
      </c>
      <c r="Q20" s="1" t="s">
        <v>112</v>
      </c>
      <c r="R20" s="1" t="s">
        <v>175</v>
      </c>
      <c r="S20" s="1" t="s">
        <v>134</v>
      </c>
    </row>
    <row r="21" spans="1:22" ht="29.1" customHeight="1" x14ac:dyDescent="0.2">
      <c r="A21" s="104" t="s">
        <v>119</v>
      </c>
      <c r="B21" s="12"/>
      <c r="C21" s="12"/>
      <c r="D21" s="12"/>
      <c r="E21" s="12"/>
      <c r="F21" s="12"/>
      <c r="G21" s="105">
        <f>SUM($G$22:$G$80)</f>
        <v>1661.95</v>
      </c>
      <c r="H21" s="105">
        <f>SUM($H$22:$H$80)</f>
        <v>0</v>
      </c>
      <c r="I21" s="105">
        <f>SUM($I$22:$I$80)</f>
        <v>0</v>
      </c>
      <c r="J21" s="43"/>
      <c r="K21" s="43"/>
      <c r="L21" s="106">
        <f>MAX(L22:L80)</f>
        <v>191.33</v>
      </c>
      <c r="M21" s="105">
        <f>SUM($M$22:$M$80)</f>
        <v>275864.71000000014</v>
      </c>
      <c r="N21" s="43"/>
      <c r="O21" s="43"/>
      <c r="P21" s="105">
        <f>SUM($P$22:$P$80)</f>
        <v>0</v>
      </c>
      <c r="Q21" s="105">
        <f ca="1">SUM($Q$22:$Q$80)</f>
        <v>0</v>
      </c>
      <c r="R21" s="105">
        <f>ROUND(IF(L21=0,0,P21/L21),2)</f>
        <v>0</v>
      </c>
      <c r="S21" s="105">
        <f ca="1">ROUND(IF(L21=0,0,Q21/L21),2)</f>
        <v>0</v>
      </c>
    </row>
    <row r="22" spans="1:22" ht="15" customHeight="1" x14ac:dyDescent="0.2">
      <c r="A22" s="96">
        <v>1</v>
      </c>
      <c r="B22" s="107"/>
      <c r="C22" s="108" t="s">
        <v>216</v>
      </c>
      <c r="D22" s="108"/>
      <c r="E22" s="108" t="s">
        <v>217</v>
      </c>
      <c r="F22" s="108" t="s">
        <v>218</v>
      </c>
      <c r="G22" s="109">
        <v>21.16</v>
      </c>
      <c r="H22" s="109"/>
      <c r="I22" s="109"/>
      <c r="J22" s="96" t="s">
        <v>258</v>
      </c>
      <c r="K22" s="109">
        <v>5</v>
      </c>
      <c r="L22" s="43">
        <f>VLOOKUP(K22,Reinigungstage!A10:B31,2,FALSE)</f>
        <v>191.33</v>
      </c>
      <c r="M22" s="43">
        <f t="shared" ref="M22:M53" si="0">ROUND(IF(L22=0,0,L22*G22),2)</f>
        <v>4048.54</v>
      </c>
      <c r="N22" s="110">
        <f t="shared" ref="N22:N53" si="1">VLOOKUP(J22,$G$4:$H$11,2,FALSE)</f>
        <v>0</v>
      </c>
      <c r="O22" s="43">
        <f ca="1">IF('SVS UnterhaltsRG'!H61="",0,'SVS UnterhaltsRG'!H61)</f>
        <v>0</v>
      </c>
      <c r="P22" s="43">
        <f t="shared" ref="P22:P53" si="2">ROUND(IF(N22=0,0,M22/N22),2)</f>
        <v>0</v>
      </c>
      <c r="Q22" s="43">
        <f t="shared" ref="Q22:Q53" ca="1" si="3">IF(M22=0,0,IF(O22="",0,ROUND(P22*O22,2)))</f>
        <v>0</v>
      </c>
      <c r="R22" s="43">
        <f t="shared" ref="R22:R53" si="4">ROUND(IF(P22=0,0,P22/L22),2)</f>
        <v>0</v>
      </c>
      <c r="S22" s="43">
        <f t="shared" ref="S22:S53" ca="1" si="5">ROUND(IF(Q22=0,0,Q22/L22),2)</f>
        <v>0</v>
      </c>
      <c r="T22" s="3" t="str">
        <f t="shared" ref="T22:T53" si="6">IF(M22=0,"",IF(N22=0,"Leistungswert eintragen",IF(O22=0,"SVS prüfen","")))</f>
        <v>Leistungswert eintragen</v>
      </c>
      <c r="U22" s="3">
        <f t="shared" ref="U22:U53" si="7">VLOOKUP(J22,$U$4:$V$11,2,FALSE)</f>
        <v>240</v>
      </c>
      <c r="V22" s="3">
        <f t="shared" ref="V22:V53" si="8">IF(M22=0,0,IF(U22&lt;N22,1,IF(U22&gt;=N22,0,"")))</f>
        <v>0</v>
      </c>
    </row>
    <row r="23" spans="1:22" ht="15" customHeight="1" x14ac:dyDescent="0.2">
      <c r="A23" s="96">
        <v>2</v>
      </c>
      <c r="B23" s="107"/>
      <c r="C23" s="108" t="s">
        <v>216</v>
      </c>
      <c r="D23" s="108"/>
      <c r="E23" s="108" t="s">
        <v>219</v>
      </c>
      <c r="F23" s="108" t="s">
        <v>220</v>
      </c>
      <c r="G23" s="109">
        <v>7.44</v>
      </c>
      <c r="H23" s="109"/>
      <c r="I23" s="109"/>
      <c r="J23" s="96" t="s">
        <v>259</v>
      </c>
      <c r="K23" s="109">
        <v>5</v>
      </c>
      <c r="L23" s="43">
        <f>VLOOKUP(K23,Reinigungstage!A10:B31,2,FALSE)</f>
        <v>191.33</v>
      </c>
      <c r="M23" s="43">
        <f t="shared" si="0"/>
        <v>1423.5</v>
      </c>
      <c r="N23" s="110">
        <f t="shared" si="1"/>
        <v>0</v>
      </c>
      <c r="O23" s="43">
        <f ca="1">IF('SVS UnterhaltsRG'!H61="",0,'SVS UnterhaltsRG'!H61)</f>
        <v>0</v>
      </c>
      <c r="P23" s="43">
        <f t="shared" si="2"/>
        <v>0</v>
      </c>
      <c r="Q23" s="43">
        <f t="shared" ca="1" si="3"/>
        <v>0</v>
      </c>
      <c r="R23" s="43">
        <f t="shared" si="4"/>
        <v>0</v>
      </c>
      <c r="S23" s="43">
        <f t="shared" ca="1" si="5"/>
        <v>0</v>
      </c>
      <c r="T23" s="3" t="str">
        <f t="shared" si="6"/>
        <v>Leistungswert eintragen</v>
      </c>
      <c r="U23" s="3">
        <f t="shared" si="7"/>
        <v>75</v>
      </c>
      <c r="V23" s="3">
        <f t="shared" si="8"/>
        <v>0</v>
      </c>
    </row>
    <row r="24" spans="1:22" ht="15" customHeight="1" x14ac:dyDescent="0.2">
      <c r="A24" s="96">
        <v>3</v>
      </c>
      <c r="B24" s="107"/>
      <c r="C24" s="108" t="s">
        <v>216</v>
      </c>
      <c r="D24" s="108"/>
      <c r="E24" s="108" t="s">
        <v>221</v>
      </c>
      <c r="F24" s="108" t="s">
        <v>220</v>
      </c>
      <c r="G24" s="109">
        <v>4.5</v>
      </c>
      <c r="H24" s="109"/>
      <c r="I24" s="109"/>
      <c r="J24" s="96" t="s">
        <v>259</v>
      </c>
      <c r="K24" s="109">
        <v>5</v>
      </c>
      <c r="L24" s="43">
        <f>VLOOKUP(K24,Reinigungstage!A10:B31,2,FALSE)</f>
        <v>191.33</v>
      </c>
      <c r="M24" s="43">
        <f t="shared" si="0"/>
        <v>860.99</v>
      </c>
      <c r="N24" s="110">
        <f t="shared" si="1"/>
        <v>0</v>
      </c>
      <c r="O24" s="43">
        <f ca="1">IF('SVS UnterhaltsRG'!H61="",0,'SVS UnterhaltsRG'!H61)</f>
        <v>0</v>
      </c>
      <c r="P24" s="43">
        <f t="shared" si="2"/>
        <v>0</v>
      </c>
      <c r="Q24" s="43">
        <f t="shared" ca="1" si="3"/>
        <v>0</v>
      </c>
      <c r="R24" s="43">
        <f t="shared" si="4"/>
        <v>0</v>
      </c>
      <c r="S24" s="43">
        <f t="shared" ca="1" si="5"/>
        <v>0</v>
      </c>
      <c r="T24" s="3" t="str">
        <f t="shared" si="6"/>
        <v>Leistungswert eintragen</v>
      </c>
      <c r="U24" s="3">
        <f t="shared" si="7"/>
        <v>75</v>
      </c>
      <c r="V24" s="3">
        <f t="shared" si="8"/>
        <v>0</v>
      </c>
    </row>
    <row r="25" spans="1:22" ht="15" customHeight="1" x14ac:dyDescent="0.2">
      <c r="A25" s="96">
        <v>4</v>
      </c>
      <c r="B25" s="107"/>
      <c r="C25" s="108" t="s">
        <v>216</v>
      </c>
      <c r="D25" s="108"/>
      <c r="E25" s="108" t="s">
        <v>217</v>
      </c>
      <c r="F25" s="108" t="s">
        <v>218</v>
      </c>
      <c r="G25" s="109">
        <v>26.76</v>
      </c>
      <c r="H25" s="109"/>
      <c r="I25" s="109"/>
      <c r="J25" s="96" t="s">
        <v>258</v>
      </c>
      <c r="K25" s="109">
        <v>5</v>
      </c>
      <c r="L25" s="43">
        <f>VLOOKUP(K25,Reinigungstage!A10:B31,2,FALSE)</f>
        <v>191.33</v>
      </c>
      <c r="M25" s="43">
        <f t="shared" si="0"/>
        <v>5119.99</v>
      </c>
      <c r="N25" s="110">
        <f t="shared" si="1"/>
        <v>0</v>
      </c>
      <c r="O25" s="43">
        <f ca="1">IF('SVS UnterhaltsRG'!H61="",0,'SVS UnterhaltsRG'!H61)</f>
        <v>0</v>
      </c>
      <c r="P25" s="43">
        <f t="shared" si="2"/>
        <v>0</v>
      </c>
      <c r="Q25" s="43">
        <f t="shared" ca="1" si="3"/>
        <v>0</v>
      </c>
      <c r="R25" s="43">
        <f t="shared" si="4"/>
        <v>0</v>
      </c>
      <c r="S25" s="43">
        <f t="shared" ca="1" si="5"/>
        <v>0</v>
      </c>
      <c r="T25" s="3" t="str">
        <f t="shared" si="6"/>
        <v>Leistungswert eintragen</v>
      </c>
      <c r="U25" s="3">
        <f t="shared" si="7"/>
        <v>240</v>
      </c>
      <c r="V25" s="3">
        <f t="shared" si="8"/>
        <v>0</v>
      </c>
    </row>
    <row r="26" spans="1:22" ht="15" customHeight="1" x14ac:dyDescent="0.2">
      <c r="A26" s="96">
        <v>5</v>
      </c>
      <c r="B26" s="107"/>
      <c r="C26" s="108" t="s">
        <v>216</v>
      </c>
      <c r="D26" s="108"/>
      <c r="E26" s="108" t="s">
        <v>217</v>
      </c>
      <c r="F26" s="108" t="s">
        <v>218</v>
      </c>
      <c r="G26" s="109">
        <v>45.95</v>
      </c>
      <c r="H26" s="109"/>
      <c r="I26" s="109"/>
      <c r="J26" s="96" t="s">
        <v>258</v>
      </c>
      <c r="K26" s="109">
        <v>5</v>
      </c>
      <c r="L26" s="43">
        <f>VLOOKUP(K26,Reinigungstage!A10:B31,2,FALSE)</f>
        <v>191.33</v>
      </c>
      <c r="M26" s="43">
        <f t="shared" si="0"/>
        <v>8791.61</v>
      </c>
      <c r="N26" s="110">
        <f t="shared" si="1"/>
        <v>0</v>
      </c>
      <c r="O26" s="43">
        <f ca="1">IF('SVS UnterhaltsRG'!H61="",0,'SVS UnterhaltsRG'!H61)</f>
        <v>0</v>
      </c>
      <c r="P26" s="43">
        <f t="shared" si="2"/>
        <v>0</v>
      </c>
      <c r="Q26" s="43">
        <f t="shared" ca="1" si="3"/>
        <v>0</v>
      </c>
      <c r="R26" s="43">
        <f t="shared" si="4"/>
        <v>0</v>
      </c>
      <c r="S26" s="43">
        <f t="shared" ca="1" si="5"/>
        <v>0</v>
      </c>
      <c r="T26" s="3" t="str">
        <f t="shared" si="6"/>
        <v>Leistungswert eintragen</v>
      </c>
      <c r="U26" s="3">
        <f t="shared" si="7"/>
        <v>240</v>
      </c>
      <c r="V26" s="3">
        <f t="shared" si="8"/>
        <v>0</v>
      </c>
    </row>
    <row r="27" spans="1:22" ht="15" customHeight="1" x14ac:dyDescent="0.2">
      <c r="A27" s="96">
        <v>6</v>
      </c>
      <c r="B27" s="107"/>
      <c r="C27" s="108" t="s">
        <v>216</v>
      </c>
      <c r="D27" s="108"/>
      <c r="E27" s="108" t="s">
        <v>222</v>
      </c>
      <c r="F27" s="108" t="s">
        <v>218</v>
      </c>
      <c r="G27" s="109">
        <v>68.900000000000006</v>
      </c>
      <c r="H27" s="109"/>
      <c r="I27" s="109"/>
      <c r="J27" s="96" t="s">
        <v>260</v>
      </c>
      <c r="K27" s="109">
        <v>5</v>
      </c>
      <c r="L27" s="43">
        <f>VLOOKUP(K27,Reinigungstage!A10:B31,2,FALSE)</f>
        <v>191.33</v>
      </c>
      <c r="M27" s="43">
        <f t="shared" si="0"/>
        <v>13182.64</v>
      </c>
      <c r="N27" s="110">
        <f t="shared" si="1"/>
        <v>0</v>
      </c>
      <c r="O27" s="43">
        <f ca="1">IF('SVS UnterhaltsRG'!H61="",0,'SVS UnterhaltsRG'!H61)</f>
        <v>0</v>
      </c>
      <c r="P27" s="43">
        <f t="shared" si="2"/>
        <v>0</v>
      </c>
      <c r="Q27" s="43">
        <f t="shared" ca="1" si="3"/>
        <v>0</v>
      </c>
      <c r="R27" s="43">
        <f t="shared" si="4"/>
        <v>0</v>
      </c>
      <c r="S27" s="43">
        <f t="shared" ca="1" si="5"/>
        <v>0</v>
      </c>
      <c r="T27" s="3" t="str">
        <f t="shared" si="6"/>
        <v>Leistungswert eintragen</v>
      </c>
      <c r="U27" s="3">
        <f t="shared" si="7"/>
        <v>450</v>
      </c>
      <c r="V27" s="3">
        <f t="shared" si="8"/>
        <v>0</v>
      </c>
    </row>
    <row r="28" spans="1:22" ht="15" customHeight="1" x14ac:dyDescent="0.2">
      <c r="A28" s="96">
        <v>7</v>
      </c>
      <c r="B28" s="107"/>
      <c r="C28" s="108" t="s">
        <v>216</v>
      </c>
      <c r="D28" s="108"/>
      <c r="E28" s="108" t="s">
        <v>223</v>
      </c>
      <c r="F28" s="108" t="s">
        <v>220</v>
      </c>
      <c r="G28" s="109">
        <v>12.93</v>
      </c>
      <c r="H28" s="109"/>
      <c r="I28" s="109"/>
      <c r="J28" s="96" t="s">
        <v>223</v>
      </c>
      <c r="K28" s="109">
        <v>5</v>
      </c>
      <c r="L28" s="43">
        <f>VLOOKUP(K28,Reinigungstage!A10:B31,2,FALSE)</f>
        <v>191.33</v>
      </c>
      <c r="M28" s="43">
        <f t="shared" si="0"/>
        <v>2473.9</v>
      </c>
      <c r="N28" s="110">
        <f t="shared" si="1"/>
        <v>0</v>
      </c>
      <c r="O28" s="43">
        <f ca="1">IF('SVS UnterhaltsRG'!H61="",0,'SVS UnterhaltsRG'!H61)</f>
        <v>0</v>
      </c>
      <c r="P28" s="43">
        <f t="shared" si="2"/>
        <v>0</v>
      </c>
      <c r="Q28" s="43">
        <f t="shared" ca="1" si="3"/>
        <v>0</v>
      </c>
      <c r="R28" s="43">
        <f t="shared" si="4"/>
        <v>0</v>
      </c>
      <c r="S28" s="43">
        <f t="shared" ca="1" si="5"/>
        <v>0</v>
      </c>
      <c r="T28" s="3" t="str">
        <f t="shared" si="6"/>
        <v>Leistungswert eintragen</v>
      </c>
      <c r="U28" s="3">
        <f t="shared" si="7"/>
        <v>165</v>
      </c>
      <c r="V28" s="3">
        <f t="shared" si="8"/>
        <v>0</v>
      </c>
    </row>
    <row r="29" spans="1:22" ht="15" customHeight="1" x14ac:dyDescent="0.2">
      <c r="A29" s="96">
        <v>8</v>
      </c>
      <c r="B29" s="107"/>
      <c r="C29" s="108" t="s">
        <v>216</v>
      </c>
      <c r="D29" s="108"/>
      <c r="E29" s="108" t="s">
        <v>223</v>
      </c>
      <c r="F29" s="108" t="s">
        <v>218</v>
      </c>
      <c r="G29" s="109">
        <v>13.53</v>
      </c>
      <c r="H29" s="109"/>
      <c r="I29" s="109"/>
      <c r="J29" s="96" t="s">
        <v>223</v>
      </c>
      <c r="K29" s="109">
        <v>5</v>
      </c>
      <c r="L29" s="43">
        <f>VLOOKUP(K29,Reinigungstage!A10:B31,2,FALSE)</f>
        <v>191.33</v>
      </c>
      <c r="M29" s="43">
        <f t="shared" si="0"/>
        <v>2588.69</v>
      </c>
      <c r="N29" s="110">
        <f t="shared" si="1"/>
        <v>0</v>
      </c>
      <c r="O29" s="43">
        <f ca="1">IF('SVS UnterhaltsRG'!H61="",0,'SVS UnterhaltsRG'!H61)</f>
        <v>0</v>
      </c>
      <c r="P29" s="43">
        <f t="shared" si="2"/>
        <v>0</v>
      </c>
      <c r="Q29" s="43">
        <f t="shared" ca="1" si="3"/>
        <v>0</v>
      </c>
      <c r="R29" s="43">
        <f t="shared" si="4"/>
        <v>0</v>
      </c>
      <c r="S29" s="43">
        <f t="shared" ca="1" si="5"/>
        <v>0</v>
      </c>
      <c r="T29" s="3" t="str">
        <f t="shared" si="6"/>
        <v>Leistungswert eintragen</v>
      </c>
      <c r="U29" s="3">
        <f t="shared" si="7"/>
        <v>165</v>
      </c>
      <c r="V29" s="3">
        <f t="shared" si="8"/>
        <v>0</v>
      </c>
    </row>
    <row r="30" spans="1:22" ht="15" customHeight="1" x14ac:dyDescent="0.2">
      <c r="A30" s="96">
        <v>9</v>
      </c>
      <c r="B30" s="107"/>
      <c r="C30" s="108" t="s">
        <v>216</v>
      </c>
      <c r="D30" s="108"/>
      <c r="E30" s="108" t="s">
        <v>223</v>
      </c>
      <c r="F30" s="108" t="s">
        <v>218</v>
      </c>
      <c r="G30" s="109">
        <v>8.18</v>
      </c>
      <c r="H30" s="109"/>
      <c r="I30" s="109"/>
      <c r="J30" s="96" t="s">
        <v>223</v>
      </c>
      <c r="K30" s="109">
        <v>5</v>
      </c>
      <c r="L30" s="43">
        <f>VLOOKUP(K30,Reinigungstage!A10:B31,2,FALSE)</f>
        <v>191.33</v>
      </c>
      <c r="M30" s="43">
        <f t="shared" si="0"/>
        <v>1565.08</v>
      </c>
      <c r="N30" s="110">
        <f t="shared" si="1"/>
        <v>0</v>
      </c>
      <c r="O30" s="43">
        <f ca="1">IF('SVS UnterhaltsRG'!H61="",0,'SVS UnterhaltsRG'!H61)</f>
        <v>0</v>
      </c>
      <c r="P30" s="43">
        <f t="shared" si="2"/>
        <v>0</v>
      </c>
      <c r="Q30" s="43">
        <f t="shared" ca="1" si="3"/>
        <v>0</v>
      </c>
      <c r="R30" s="43">
        <f t="shared" si="4"/>
        <v>0</v>
      </c>
      <c r="S30" s="43">
        <f t="shared" ca="1" si="5"/>
        <v>0</v>
      </c>
      <c r="T30" s="3" t="str">
        <f t="shared" si="6"/>
        <v>Leistungswert eintragen</v>
      </c>
      <c r="U30" s="3">
        <f t="shared" si="7"/>
        <v>165</v>
      </c>
      <c r="V30" s="3">
        <f t="shared" si="8"/>
        <v>0</v>
      </c>
    </row>
    <row r="31" spans="1:22" ht="15" customHeight="1" x14ac:dyDescent="0.2">
      <c r="A31" s="96">
        <v>10</v>
      </c>
      <c r="B31" s="107">
        <v>27</v>
      </c>
      <c r="C31" s="108" t="s">
        <v>224</v>
      </c>
      <c r="D31" s="108"/>
      <c r="E31" s="108" t="s">
        <v>225</v>
      </c>
      <c r="F31" s="108" t="s">
        <v>218</v>
      </c>
      <c r="G31" s="109">
        <v>12.12</v>
      </c>
      <c r="H31" s="109"/>
      <c r="I31" s="109"/>
      <c r="J31" s="96" t="s">
        <v>261</v>
      </c>
      <c r="K31" s="109">
        <v>1</v>
      </c>
      <c r="L31" s="43">
        <f>VLOOKUP(K31,Reinigungstage!A10:B31,2,FALSE)</f>
        <v>39.74</v>
      </c>
      <c r="M31" s="43">
        <f t="shared" si="0"/>
        <v>481.65</v>
      </c>
      <c r="N31" s="110">
        <f t="shared" si="1"/>
        <v>0</v>
      </c>
      <c r="O31" s="43">
        <f ca="1">IF('SVS UnterhaltsRG'!H61="",0,'SVS UnterhaltsRG'!H61)</f>
        <v>0</v>
      </c>
      <c r="P31" s="43">
        <f t="shared" si="2"/>
        <v>0</v>
      </c>
      <c r="Q31" s="43">
        <f t="shared" ca="1" si="3"/>
        <v>0</v>
      </c>
      <c r="R31" s="43">
        <f t="shared" si="4"/>
        <v>0</v>
      </c>
      <c r="S31" s="43">
        <f t="shared" ca="1" si="5"/>
        <v>0</v>
      </c>
      <c r="T31" s="3" t="str">
        <f t="shared" si="6"/>
        <v>Leistungswert eintragen</v>
      </c>
      <c r="U31" s="3">
        <f t="shared" si="7"/>
        <v>215</v>
      </c>
      <c r="V31" s="3">
        <f t="shared" si="8"/>
        <v>0</v>
      </c>
    </row>
    <row r="32" spans="1:22" ht="15" customHeight="1" x14ac:dyDescent="0.2">
      <c r="A32" s="96">
        <v>11</v>
      </c>
      <c r="B32" s="107"/>
      <c r="C32" s="108" t="s">
        <v>224</v>
      </c>
      <c r="D32" s="108">
        <v>3</v>
      </c>
      <c r="E32" s="108" t="s">
        <v>217</v>
      </c>
      <c r="F32" s="108" t="s">
        <v>218</v>
      </c>
      <c r="G32" s="109">
        <v>62.3</v>
      </c>
      <c r="H32" s="109"/>
      <c r="I32" s="109"/>
      <c r="J32" s="96" t="s">
        <v>258</v>
      </c>
      <c r="K32" s="109">
        <v>5</v>
      </c>
      <c r="L32" s="43">
        <f>VLOOKUP(K32,Reinigungstage!A10:B31,2,FALSE)</f>
        <v>191.33</v>
      </c>
      <c r="M32" s="43">
        <f t="shared" si="0"/>
        <v>11919.86</v>
      </c>
      <c r="N32" s="110">
        <f t="shared" si="1"/>
        <v>0</v>
      </c>
      <c r="O32" s="43">
        <f ca="1">IF('SVS UnterhaltsRG'!H61="",0,'SVS UnterhaltsRG'!H61)</f>
        <v>0</v>
      </c>
      <c r="P32" s="43">
        <f t="shared" si="2"/>
        <v>0</v>
      </c>
      <c r="Q32" s="43">
        <f t="shared" ca="1" si="3"/>
        <v>0</v>
      </c>
      <c r="R32" s="43">
        <f t="shared" si="4"/>
        <v>0</v>
      </c>
      <c r="S32" s="43">
        <f t="shared" ca="1" si="5"/>
        <v>0</v>
      </c>
      <c r="T32" s="3" t="str">
        <f t="shared" si="6"/>
        <v>Leistungswert eintragen</v>
      </c>
      <c r="U32" s="3">
        <f t="shared" si="7"/>
        <v>240</v>
      </c>
      <c r="V32" s="3">
        <f t="shared" si="8"/>
        <v>0</v>
      </c>
    </row>
    <row r="33" spans="1:22" ht="15" customHeight="1" x14ac:dyDescent="0.2">
      <c r="A33" s="96">
        <v>12</v>
      </c>
      <c r="B33" s="107">
        <v>25</v>
      </c>
      <c r="C33" s="108" t="s">
        <v>224</v>
      </c>
      <c r="D33" s="108"/>
      <c r="E33" s="108" t="s">
        <v>217</v>
      </c>
      <c r="F33" s="108" t="s">
        <v>218</v>
      </c>
      <c r="G33" s="109">
        <v>25.93</v>
      </c>
      <c r="H33" s="109"/>
      <c r="I33" s="109"/>
      <c r="J33" s="96" t="s">
        <v>258</v>
      </c>
      <c r="K33" s="109">
        <v>5</v>
      </c>
      <c r="L33" s="43">
        <f>VLOOKUP(K33,Reinigungstage!A10:B31,2,FALSE)</f>
        <v>191.33</v>
      </c>
      <c r="M33" s="43">
        <f t="shared" si="0"/>
        <v>4961.1899999999996</v>
      </c>
      <c r="N33" s="110">
        <f t="shared" si="1"/>
        <v>0</v>
      </c>
      <c r="O33" s="43">
        <f ca="1">IF('SVS UnterhaltsRG'!H61="",0,'SVS UnterhaltsRG'!H61)</f>
        <v>0</v>
      </c>
      <c r="P33" s="43">
        <f t="shared" si="2"/>
        <v>0</v>
      </c>
      <c r="Q33" s="43">
        <f t="shared" ca="1" si="3"/>
        <v>0</v>
      </c>
      <c r="R33" s="43">
        <f t="shared" si="4"/>
        <v>0</v>
      </c>
      <c r="S33" s="43">
        <f t="shared" ca="1" si="5"/>
        <v>0</v>
      </c>
      <c r="T33" s="3" t="str">
        <f t="shared" si="6"/>
        <v>Leistungswert eintragen</v>
      </c>
      <c r="U33" s="3">
        <f t="shared" si="7"/>
        <v>240</v>
      </c>
      <c r="V33" s="3">
        <f t="shared" si="8"/>
        <v>0</v>
      </c>
    </row>
    <row r="34" spans="1:22" ht="15" customHeight="1" x14ac:dyDescent="0.2">
      <c r="A34" s="96">
        <v>13</v>
      </c>
      <c r="B34" s="107"/>
      <c r="C34" s="108" t="s">
        <v>224</v>
      </c>
      <c r="D34" s="108"/>
      <c r="E34" s="108" t="s">
        <v>222</v>
      </c>
      <c r="F34" s="108" t="s">
        <v>220</v>
      </c>
      <c r="G34" s="109">
        <v>93.68</v>
      </c>
      <c r="H34" s="109"/>
      <c r="I34" s="109"/>
      <c r="J34" s="96" t="s">
        <v>260</v>
      </c>
      <c r="K34" s="109">
        <v>5</v>
      </c>
      <c r="L34" s="43">
        <f>VLOOKUP(K34,Reinigungstage!A10:B31,2,FALSE)</f>
        <v>191.33</v>
      </c>
      <c r="M34" s="43">
        <f t="shared" si="0"/>
        <v>17923.79</v>
      </c>
      <c r="N34" s="110">
        <f t="shared" si="1"/>
        <v>0</v>
      </c>
      <c r="O34" s="43">
        <f ca="1">IF('SVS UnterhaltsRG'!H61="",0,'SVS UnterhaltsRG'!H61)</f>
        <v>0</v>
      </c>
      <c r="P34" s="43">
        <f t="shared" si="2"/>
        <v>0</v>
      </c>
      <c r="Q34" s="43">
        <f t="shared" ca="1" si="3"/>
        <v>0</v>
      </c>
      <c r="R34" s="43">
        <f t="shared" si="4"/>
        <v>0</v>
      </c>
      <c r="S34" s="43">
        <f t="shared" ca="1" si="5"/>
        <v>0</v>
      </c>
      <c r="T34" s="3" t="str">
        <f t="shared" si="6"/>
        <v>Leistungswert eintragen</v>
      </c>
      <c r="U34" s="3">
        <f t="shared" si="7"/>
        <v>450</v>
      </c>
      <c r="V34" s="3">
        <f t="shared" si="8"/>
        <v>0</v>
      </c>
    </row>
    <row r="35" spans="1:22" ht="15" customHeight="1" x14ac:dyDescent="0.2">
      <c r="A35" s="96">
        <v>14</v>
      </c>
      <c r="B35" s="107">
        <v>24</v>
      </c>
      <c r="C35" s="108" t="s">
        <v>224</v>
      </c>
      <c r="D35" s="108"/>
      <c r="E35" s="108" t="s">
        <v>217</v>
      </c>
      <c r="F35" s="108" t="s">
        <v>218</v>
      </c>
      <c r="G35" s="109">
        <v>41.18</v>
      </c>
      <c r="H35" s="109"/>
      <c r="I35" s="109"/>
      <c r="J35" s="96" t="s">
        <v>258</v>
      </c>
      <c r="K35" s="109">
        <v>5</v>
      </c>
      <c r="L35" s="43">
        <f>VLOOKUP(K35,Reinigungstage!A10:B31,2,FALSE)</f>
        <v>191.33</v>
      </c>
      <c r="M35" s="43">
        <f t="shared" si="0"/>
        <v>7878.97</v>
      </c>
      <c r="N35" s="110">
        <f t="shared" si="1"/>
        <v>0</v>
      </c>
      <c r="O35" s="43">
        <f ca="1">IF('SVS UnterhaltsRG'!H61="",0,'SVS UnterhaltsRG'!H61)</f>
        <v>0</v>
      </c>
      <c r="P35" s="43">
        <f t="shared" si="2"/>
        <v>0</v>
      </c>
      <c r="Q35" s="43">
        <f t="shared" ca="1" si="3"/>
        <v>0</v>
      </c>
      <c r="R35" s="43">
        <f t="shared" si="4"/>
        <v>0</v>
      </c>
      <c r="S35" s="43">
        <f t="shared" ca="1" si="5"/>
        <v>0</v>
      </c>
      <c r="T35" s="3" t="str">
        <f t="shared" si="6"/>
        <v>Leistungswert eintragen</v>
      </c>
      <c r="U35" s="3">
        <f t="shared" si="7"/>
        <v>240</v>
      </c>
      <c r="V35" s="3">
        <f t="shared" si="8"/>
        <v>0</v>
      </c>
    </row>
    <row r="36" spans="1:22" ht="15" customHeight="1" x14ac:dyDescent="0.2">
      <c r="A36" s="96">
        <v>15</v>
      </c>
      <c r="B36" s="107"/>
      <c r="C36" s="108" t="s">
        <v>224</v>
      </c>
      <c r="D36" s="108"/>
      <c r="E36" s="108" t="s">
        <v>226</v>
      </c>
      <c r="F36" s="108" t="s">
        <v>220</v>
      </c>
      <c r="G36" s="109">
        <v>11.32</v>
      </c>
      <c r="H36" s="109"/>
      <c r="I36" s="109"/>
      <c r="J36" s="96" t="s">
        <v>259</v>
      </c>
      <c r="K36" s="109">
        <v>5</v>
      </c>
      <c r="L36" s="43">
        <f>VLOOKUP(K36,Reinigungstage!A10:B31,2,FALSE)</f>
        <v>191.33</v>
      </c>
      <c r="M36" s="43">
        <f t="shared" si="0"/>
        <v>2165.86</v>
      </c>
      <c r="N36" s="110">
        <f t="shared" si="1"/>
        <v>0</v>
      </c>
      <c r="O36" s="43">
        <f ca="1">IF('SVS UnterhaltsRG'!H61="",0,'SVS UnterhaltsRG'!H61)</f>
        <v>0</v>
      </c>
      <c r="P36" s="43">
        <f t="shared" si="2"/>
        <v>0</v>
      </c>
      <c r="Q36" s="43">
        <f t="shared" ca="1" si="3"/>
        <v>0</v>
      </c>
      <c r="R36" s="43">
        <f t="shared" si="4"/>
        <v>0</v>
      </c>
      <c r="S36" s="43">
        <f t="shared" ca="1" si="5"/>
        <v>0</v>
      </c>
      <c r="T36" s="3" t="str">
        <f t="shared" si="6"/>
        <v>Leistungswert eintragen</v>
      </c>
      <c r="U36" s="3">
        <f t="shared" si="7"/>
        <v>75</v>
      </c>
      <c r="V36" s="3">
        <f t="shared" si="8"/>
        <v>0</v>
      </c>
    </row>
    <row r="37" spans="1:22" ht="15" customHeight="1" x14ac:dyDescent="0.2">
      <c r="A37" s="96">
        <v>16</v>
      </c>
      <c r="B37" s="107"/>
      <c r="C37" s="108" t="s">
        <v>224</v>
      </c>
      <c r="D37" s="108"/>
      <c r="E37" s="108" t="s">
        <v>227</v>
      </c>
      <c r="F37" s="108" t="s">
        <v>220</v>
      </c>
      <c r="G37" s="109">
        <v>11.87</v>
      </c>
      <c r="H37" s="109"/>
      <c r="I37" s="109"/>
      <c r="J37" s="96" t="s">
        <v>259</v>
      </c>
      <c r="K37" s="109">
        <v>5</v>
      </c>
      <c r="L37" s="43">
        <f>VLOOKUP(K37,Reinigungstage!A10:B31,2,FALSE)</f>
        <v>191.33</v>
      </c>
      <c r="M37" s="43">
        <f t="shared" si="0"/>
        <v>2271.09</v>
      </c>
      <c r="N37" s="110">
        <f t="shared" si="1"/>
        <v>0</v>
      </c>
      <c r="O37" s="43">
        <f ca="1">IF('SVS UnterhaltsRG'!H61="",0,'SVS UnterhaltsRG'!H61)</f>
        <v>0</v>
      </c>
      <c r="P37" s="43">
        <f t="shared" si="2"/>
        <v>0</v>
      </c>
      <c r="Q37" s="43">
        <f t="shared" ca="1" si="3"/>
        <v>0</v>
      </c>
      <c r="R37" s="43">
        <f t="shared" si="4"/>
        <v>0</v>
      </c>
      <c r="S37" s="43">
        <f t="shared" ca="1" si="5"/>
        <v>0</v>
      </c>
      <c r="T37" s="3" t="str">
        <f t="shared" si="6"/>
        <v>Leistungswert eintragen</v>
      </c>
      <c r="U37" s="3">
        <f t="shared" si="7"/>
        <v>75</v>
      </c>
      <c r="V37" s="3">
        <f t="shared" si="8"/>
        <v>0</v>
      </c>
    </row>
    <row r="38" spans="1:22" ht="15" customHeight="1" x14ac:dyDescent="0.2">
      <c r="A38" s="96">
        <v>17</v>
      </c>
      <c r="B38" s="107">
        <v>22</v>
      </c>
      <c r="C38" s="108" t="s">
        <v>224</v>
      </c>
      <c r="D38" s="108"/>
      <c r="E38" s="108" t="s">
        <v>217</v>
      </c>
      <c r="F38" s="108" t="s">
        <v>218</v>
      </c>
      <c r="G38" s="109">
        <v>38.770000000000003</v>
      </c>
      <c r="H38" s="109"/>
      <c r="I38" s="109"/>
      <c r="J38" s="96" t="s">
        <v>258</v>
      </c>
      <c r="K38" s="109">
        <v>5</v>
      </c>
      <c r="L38" s="43">
        <f>VLOOKUP(K38,Reinigungstage!A10:B31,2,FALSE)</f>
        <v>191.33</v>
      </c>
      <c r="M38" s="43">
        <f t="shared" si="0"/>
        <v>7417.86</v>
      </c>
      <c r="N38" s="110">
        <f t="shared" si="1"/>
        <v>0</v>
      </c>
      <c r="O38" s="43">
        <f ca="1">IF('SVS UnterhaltsRG'!H61="",0,'SVS UnterhaltsRG'!H61)</f>
        <v>0</v>
      </c>
      <c r="P38" s="43">
        <f t="shared" si="2"/>
        <v>0</v>
      </c>
      <c r="Q38" s="43">
        <f t="shared" ca="1" si="3"/>
        <v>0</v>
      </c>
      <c r="R38" s="43">
        <f t="shared" si="4"/>
        <v>0</v>
      </c>
      <c r="S38" s="43">
        <f t="shared" ca="1" si="5"/>
        <v>0</v>
      </c>
      <c r="T38" s="3" t="str">
        <f t="shared" si="6"/>
        <v>Leistungswert eintragen</v>
      </c>
      <c r="U38" s="3">
        <f t="shared" si="7"/>
        <v>240</v>
      </c>
      <c r="V38" s="3">
        <f t="shared" si="8"/>
        <v>0</v>
      </c>
    </row>
    <row r="39" spans="1:22" ht="15" customHeight="1" x14ac:dyDescent="0.2">
      <c r="A39" s="96">
        <v>18</v>
      </c>
      <c r="B39" s="107">
        <v>21</v>
      </c>
      <c r="C39" s="108" t="s">
        <v>224</v>
      </c>
      <c r="D39" s="108"/>
      <c r="E39" s="108" t="s">
        <v>228</v>
      </c>
      <c r="F39" s="108" t="s">
        <v>229</v>
      </c>
      <c r="G39" s="109">
        <v>68.09</v>
      </c>
      <c r="H39" s="109"/>
      <c r="I39" s="109"/>
      <c r="J39" s="96" t="s">
        <v>261</v>
      </c>
      <c r="K39" s="109">
        <v>1</v>
      </c>
      <c r="L39" s="43">
        <f>VLOOKUP(K39,Reinigungstage!A10:B31,2,FALSE)</f>
        <v>39.74</v>
      </c>
      <c r="M39" s="43">
        <f t="shared" si="0"/>
        <v>2705.9</v>
      </c>
      <c r="N39" s="110">
        <f t="shared" si="1"/>
        <v>0</v>
      </c>
      <c r="O39" s="43">
        <f ca="1">IF('SVS UnterhaltsRG'!H61="",0,'SVS UnterhaltsRG'!H61)</f>
        <v>0</v>
      </c>
      <c r="P39" s="43">
        <f t="shared" si="2"/>
        <v>0</v>
      </c>
      <c r="Q39" s="43">
        <f t="shared" ca="1" si="3"/>
        <v>0</v>
      </c>
      <c r="R39" s="43">
        <f t="shared" si="4"/>
        <v>0</v>
      </c>
      <c r="S39" s="43">
        <f t="shared" ca="1" si="5"/>
        <v>0</v>
      </c>
      <c r="T39" s="3" t="str">
        <f t="shared" si="6"/>
        <v>Leistungswert eintragen</v>
      </c>
      <c r="U39" s="3">
        <f t="shared" si="7"/>
        <v>215</v>
      </c>
      <c r="V39" s="3">
        <f t="shared" si="8"/>
        <v>0</v>
      </c>
    </row>
    <row r="40" spans="1:22" ht="15" customHeight="1" x14ac:dyDescent="0.2">
      <c r="A40" s="96">
        <v>19</v>
      </c>
      <c r="B40" s="107">
        <v>21</v>
      </c>
      <c r="C40" s="108" t="s">
        <v>224</v>
      </c>
      <c r="D40" s="108"/>
      <c r="E40" s="108" t="s">
        <v>230</v>
      </c>
      <c r="F40" s="108" t="s">
        <v>231</v>
      </c>
      <c r="G40" s="109">
        <v>13.51</v>
      </c>
      <c r="H40" s="109"/>
      <c r="I40" s="109"/>
      <c r="J40" s="96" t="s">
        <v>261</v>
      </c>
      <c r="K40" s="109">
        <v>1</v>
      </c>
      <c r="L40" s="43">
        <f>VLOOKUP(K40,Reinigungstage!A10:B31,2,FALSE)</f>
        <v>39.74</v>
      </c>
      <c r="M40" s="43">
        <f t="shared" si="0"/>
        <v>536.89</v>
      </c>
      <c r="N40" s="110">
        <f t="shared" si="1"/>
        <v>0</v>
      </c>
      <c r="O40" s="43">
        <f ca="1">IF('SVS UnterhaltsRG'!H61="",0,'SVS UnterhaltsRG'!H61)</f>
        <v>0</v>
      </c>
      <c r="P40" s="43">
        <f t="shared" si="2"/>
        <v>0</v>
      </c>
      <c r="Q40" s="43">
        <f t="shared" ca="1" si="3"/>
        <v>0</v>
      </c>
      <c r="R40" s="43">
        <f t="shared" si="4"/>
        <v>0</v>
      </c>
      <c r="S40" s="43">
        <f t="shared" ca="1" si="5"/>
        <v>0</v>
      </c>
      <c r="T40" s="3" t="str">
        <f t="shared" si="6"/>
        <v>Leistungswert eintragen</v>
      </c>
      <c r="U40" s="3">
        <f t="shared" si="7"/>
        <v>215</v>
      </c>
      <c r="V40" s="3">
        <f t="shared" si="8"/>
        <v>0</v>
      </c>
    </row>
    <row r="41" spans="1:22" ht="15" customHeight="1" x14ac:dyDescent="0.2">
      <c r="A41" s="96">
        <v>20</v>
      </c>
      <c r="B41" s="107">
        <v>20</v>
      </c>
      <c r="C41" s="108" t="s">
        <v>224</v>
      </c>
      <c r="D41" s="108"/>
      <c r="E41" s="108" t="s">
        <v>217</v>
      </c>
      <c r="F41" s="108" t="s">
        <v>218</v>
      </c>
      <c r="G41" s="109">
        <v>65.599999999999994</v>
      </c>
      <c r="H41" s="109"/>
      <c r="I41" s="109"/>
      <c r="J41" s="96" t="s">
        <v>258</v>
      </c>
      <c r="K41" s="109">
        <v>5</v>
      </c>
      <c r="L41" s="43">
        <f>VLOOKUP(K41,Reinigungstage!A10:B31,2,FALSE)</f>
        <v>191.33</v>
      </c>
      <c r="M41" s="43">
        <f t="shared" si="0"/>
        <v>12551.25</v>
      </c>
      <c r="N41" s="110">
        <f t="shared" si="1"/>
        <v>0</v>
      </c>
      <c r="O41" s="43">
        <f ca="1">IF('SVS UnterhaltsRG'!H61="",0,'SVS UnterhaltsRG'!H61)</f>
        <v>0</v>
      </c>
      <c r="P41" s="43">
        <f t="shared" si="2"/>
        <v>0</v>
      </c>
      <c r="Q41" s="43">
        <f t="shared" ca="1" si="3"/>
        <v>0</v>
      </c>
      <c r="R41" s="43">
        <f t="shared" si="4"/>
        <v>0</v>
      </c>
      <c r="S41" s="43">
        <f t="shared" ca="1" si="5"/>
        <v>0</v>
      </c>
      <c r="T41" s="3" t="str">
        <f t="shared" si="6"/>
        <v>Leistungswert eintragen</v>
      </c>
      <c r="U41" s="3">
        <f t="shared" si="7"/>
        <v>240</v>
      </c>
      <c r="V41" s="3">
        <f t="shared" si="8"/>
        <v>0</v>
      </c>
    </row>
    <row r="42" spans="1:22" ht="15" customHeight="1" x14ac:dyDescent="0.2">
      <c r="A42" s="96">
        <v>21</v>
      </c>
      <c r="B42" s="107"/>
      <c r="C42" s="108" t="s">
        <v>224</v>
      </c>
      <c r="D42" s="108"/>
      <c r="E42" s="108" t="s">
        <v>223</v>
      </c>
      <c r="F42" s="108" t="s">
        <v>220</v>
      </c>
      <c r="G42" s="109">
        <v>16.04</v>
      </c>
      <c r="H42" s="109"/>
      <c r="I42" s="109"/>
      <c r="J42" s="96" t="s">
        <v>223</v>
      </c>
      <c r="K42" s="109">
        <v>5</v>
      </c>
      <c r="L42" s="43">
        <f>VLOOKUP(K42,Reinigungstage!A10:B31,2,FALSE)</f>
        <v>191.33</v>
      </c>
      <c r="M42" s="43">
        <f t="shared" si="0"/>
        <v>3068.93</v>
      </c>
      <c r="N42" s="110">
        <f t="shared" si="1"/>
        <v>0</v>
      </c>
      <c r="O42" s="43">
        <f ca="1">IF('SVS UnterhaltsRG'!H61="",0,'SVS UnterhaltsRG'!H61)</f>
        <v>0</v>
      </c>
      <c r="P42" s="43">
        <f t="shared" si="2"/>
        <v>0</v>
      </c>
      <c r="Q42" s="43">
        <f t="shared" ca="1" si="3"/>
        <v>0</v>
      </c>
      <c r="R42" s="43">
        <f t="shared" si="4"/>
        <v>0</v>
      </c>
      <c r="S42" s="43">
        <f t="shared" ca="1" si="5"/>
        <v>0</v>
      </c>
      <c r="T42" s="3" t="str">
        <f t="shared" si="6"/>
        <v>Leistungswert eintragen</v>
      </c>
      <c r="U42" s="3">
        <f t="shared" si="7"/>
        <v>165</v>
      </c>
      <c r="V42" s="3">
        <f t="shared" si="8"/>
        <v>0</v>
      </c>
    </row>
    <row r="43" spans="1:22" ht="15" customHeight="1" x14ac:dyDescent="0.2">
      <c r="A43" s="96">
        <v>22</v>
      </c>
      <c r="B43" s="107"/>
      <c r="C43" s="108" t="s">
        <v>224</v>
      </c>
      <c r="D43" s="108"/>
      <c r="E43" s="108" t="s">
        <v>223</v>
      </c>
      <c r="F43" s="108" t="s">
        <v>218</v>
      </c>
      <c r="G43" s="109">
        <v>12.88</v>
      </c>
      <c r="H43" s="109"/>
      <c r="I43" s="109"/>
      <c r="J43" s="96" t="s">
        <v>223</v>
      </c>
      <c r="K43" s="109">
        <v>5</v>
      </c>
      <c r="L43" s="43">
        <f>VLOOKUP(K43,Reinigungstage!A10:B31,2,FALSE)</f>
        <v>191.33</v>
      </c>
      <c r="M43" s="43">
        <f t="shared" si="0"/>
        <v>2464.33</v>
      </c>
      <c r="N43" s="110">
        <f t="shared" si="1"/>
        <v>0</v>
      </c>
      <c r="O43" s="43">
        <f ca="1">IF('SVS UnterhaltsRG'!H61="",0,'SVS UnterhaltsRG'!H61)</f>
        <v>0</v>
      </c>
      <c r="P43" s="43">
        <f t="shared" si="2"/>
        <v>0</v>
      </c>
      <c r="Q43" s="43">
        <f t="shared" ca="1" si="3"/>
        <v>0</v>
      </c>
      <c r="R43" s="43">
        <f t="shared" si="4"/>
        <v>0</v>
      </c>
      <c r="S43" s="43">
        <f t="shared" ca="1" si="5"/>
        <v>0</v>
      </c>
      <c r="T43" s="3" t="str">
        <f t="shared" si="6"/>
        <v>Leistungswert eintragen</v>
      </c>
      <c r="U43" s="3">
        <f t="shared" si="7"/>
        <v>165</v>
      </c>
      <c r="V43" s="3">
        <f t="shared" si="8"/>
        <v>0</v>
      </c>
    </row>
    <row r="44" spans="1:22" ht="15" customHeight="1" x14ac:dyDescent="0.2">
      <c r="A44" s="96">
        <v>23</v>
      </c>
      <c r="B44" s="107"/>
      <c r="C44" s="108" t="s">
        <v>224</v>
      </c>
      <c r="D44" s="108"/>
      <c r="E44" s="108" t="s">
        <v>232</v>
      </c>
      <c r="F44" s="108" t="s">
        <v>220</v>
      </c>
      <c r="G44" s="109">
        <v>3.32</v>
      </c>
      <c r="H44" s="109"/>
      <c r="I44" s="109"/>
      <c r="J44" s="96" t="s">
        <v>223</v>
      </c>
      <c r="K44" s="109">
        <v>5</v>
      </c>
      <c r="L44" s="43">
        <f>VLOOKUP(K44,Reinigungstage!A10:B31,2,FALSE)</f>
        <v>191.33</v>
      </c>
      <c r="M44" s="43">
        <f t="shared" si="0"/>
        <v>635.22</v>
      </c>
      <c r="N44" s="110">
        <f t="shared" si="1"/>
        <v>0</v>
      </c>
      <c r="O44" s="43">
        <f ca="1">IF('SVS UnterhaltsRG'!H61="",0,'SVS UnterhaltsRG'!H61)</f>
        <v>0</v>
      </c>
      <c r="P44" s="43">
        <f t="shared" si="2"/>
        <v>0</v>
      </c>
      <c r="Q44" s="43">
        <f t="shared" ca="1" si="3"/>
        <v>0</v>
      </c>
      <c r="R44" s="43">
        <f t="shared" si="4"/>
        <v>0</v>
      </c>
      <c r="S44" s="43">
        <f t="shared" ca="1" si="5"/>
        <v>0</v>
      </c>
      <c r="T44" s="3" t="str">
        <f t="shared" si="6"/>
        <v>Leistungswert eintragen</v>
      </c>
      <c r="U44" s="3">
        <f t="shared" si="7"/>
        <v>165</v>
      </c>
      <c r="V44" s="3">
        <f t="shared" si="8"/>
        <v>0</v>
      </c>
    </row>
    <row r="45" spans="1:22" ht="15" customHeight="1" x14ac:dyDescent="0.2">
      <c r="A45" s="96">
        <v>24</v>
      </c>
      <c r="B45" s="107"/>
      <c r="C45" s="108" t="s">
        <v>224</v>
      </c>
      <c r="D45" s="108"/>
      <c r="E45" s="108" t="s">
        <v>223</v>
      </c>
      <c r="F45" s="108" t="s">
        <v>218</v>
      </c>
      <c r="G45" s="109">
        <v>10.64</v>
      </c>
      <c r="H45" s="109"/>
      <c r="I45" s="109"/>
      <c r="J45" s="96" t="s">
        <v>223</v>
      </c>
      <c r="K45" s="109">
        <v>5</v>
      </c>
      <c r="L45" s="43">
        <f>VLOOKUP(K45,Reinigungstage!A10:B31,2,FALSE)</f>
        <v>191.33</v>
      </c>
      <c r="M45" s="43">
        <f t="shared" si="0"/>
        <v>2035.75</v>
      </c>
      <c r="N45" s="110">
        <f t="shared" si="1"/>
        <v>0</v>
      </c>
      <c r="O45" s="43">
        <f ca="1">IF('SVS UnterhaltsRG'!H61="",0,'SVS UnterhaltsRG'!H61)</f>
        <v>0</v>
      </c>
      <c r="P45" s="43">
        <f t="shared" si="2"/>
        <v>0</v>
      </c>
      <c r="Q45" s="43">
        <f t="shared" ca="1" si="3"/>
        <v>0</v>
      </c>
      <c r="R45" s="43">
        <f t="shared" si="4"/>
        <v>0</v>
      </c>
      <c r="S45" s="43">
        <f t="shared" ca="1" si="5"/>
        <v>0</v>
      </c>
      <c r="T45" s="3" t="str">
        <f t="shared" si="6"/>
        <v>Leistungswert eintragen</v>
      </c>
      <c r="U45" s="3">
        <f t="shared" si="7"/>
        <v>165</v>
      </c>
      <c r="V45" s="3">
        <f t="shared" si="8"/>
        <v>0</v>
      </c>
    </row>
    <row r="46" spans="1:22" ht="15" customHeight="1" x14ac:dyDescent="0.2">
      <c r="A46" s="96">
        <v>25</v>
      </c>
      <c r="B46" s="107"/>
      <c r="C46" s="108" t="s">
        <v>233</v>
      </c>
      <c r="D46" s="108"/>
      <c r="E46" s="108" t="s">
        <v>217</v>
      </c>
      <c r="F46" s="108" t="s">
        <v>218</v>
      </c>
      <c r="G46" s="109">
        <v>62.15</v>
      </c>
      <c r="H46" s="109"/>
      <c r="I46" s="109"/>
      <c r="J46" s="96" t="s">
        <v>258</v>
      </c>
      <c r="K46" s="109">
        <v>5</v>
      </c>
      <c r="L46" s="43">
        <f>VLOOKUP(K46,Reinigungstage!A10:B31,2,FALSE)</f>
        <v>191.33</v>
      </c>
      <c r="M46" s="43">
        <f t="shared" si="0"/>
        <v>11891.16</v>
      </c>
      <c r="N46" s="110">
        <f t="shared" si="1"/>
        <v>0</v>
      </c>
      <c r="O46" s="43">
        <f ca="1">IF('SVS UnterhaltsRG'!H61="",0,'SVS UnterhaltsRG'!H61)</f>
        <v>0</v>
      </c>
      <c r="P46" s="43">
        <f t="shared" si="2"/>
        <v>0</v>
      </c>
      <c r="Q46" s="43">
        <f t="shared" ca="1" si="3"/>
        <v>0</v>
      </c>
      <c r="R46" s="43">
        <f t="shared" si="4"/>
        <v>0</v>
      </c>
      <c r="S46" s="43">
        <f t="shared" ca="1" si="5"/>
        <v>0</v>
      </c>
      <c r="T46" s="3" t="str">
        <f t="shared" si="6"/>
        <v>Leistungswert eintragen</v>
      </c>
      <c r="U46" s="3">
        <f t="shared" si="7"/>
        <v>240</v>
      </c>
      <c r="V46" s="3">
        <f t="shared" si="8"/>
        <v>0</v>
      </c>
    </row>
    <row r="47" spans="1:22" ht="15" customHeight="1" x14ac:dyDescent="0.2">
      <c r="A47" s="96">
        <v>26</v>
      </c>
      <c r="B47" s="107"/>
      <c r="C47" s="108" t="s">
        <v>233</v>
      </c>
      <c r="D47" s="108"/>
      <c r="E47" s="108" t="s">
        <v>234</v>
      </c>
      <c r="F47" s="108" t="s">
        <v>218</v>
      </c>
      <c r="G47" s="109">
        <v>25.91</v>
      </c>
      <c r="H47" s="109"/>
      <c r="I47" s="109"/>
      <c r="J47" s="96" t="s">
        <v>261</v>
      </c>
      <c r="K47" s="109">
        <v>1</v>
      </c>
      <c r="L47" s="43">
        <f>VLOOKUP(K47,Reinigungstage!A10:B31,2,FALSE)</f>
        <v>39.74</v>
      </c>
      <c r="M47" s="43">
        <f t="shared" si="0"/>
        <v>1029.6600000000001</v>
      </c>
      <c r="N47" s="110">
        <f t="shared" si="1"/>
        <v>0</v>
      </c>
      <c r="O47" s="43">
        <f ca="1">IF('SVS UnterhaltsRG'!H61="",0,'SVS UnterhaltsRG'!H61)</f>
        <v>0</v>
      </c>
      <c r="P47" s="43">
        <f t="shared" si="2"/>
        <v>0</v>
      </c>
      <c r="Q47" s="43">
        <f t="shared" ca="1" si="3"/>
        <v>0</v>
      </c>
      <c r="R47" s="43">
        <f t="shared" si="4"/>
        <v>0</v>
      </c>
      <c r="S47" s="43">
        <f t="shared" ca="1" si="5"/>
        <v>0</v>
      </c>
      <c r="T47" s="3" t="str">
        <f t="shared" si="6"/>
        <v>Leistungswert eintragen</v>
      </c>
      <c r="U47" s="3">
        <f t="shared" si="7"/>
        <v>215</v>
      </c>
      <c r="V47" s="3">
        <f t="shared" si="8"/>
        <v>0</v>
      </c>
    </row>
    <row r="48" spans="1:22" ht="15" customHeight="1" x14ac:dyDescent="0.2">
      <c r="A48" s="96">
        <v>27</v>
      </c>
      <c r="B48" s="107"/>
      <c r="C48" s="108" t="s">
        <v>233</v>
      </c>
      <c r="D48" s="108"/>
      <c r="E48" s="108" t="s">
        <v>235</v>
      </c>
      <c r="F48" s="108" t="s">
        <v>218</v>
      </c>
      <c r="G48" s="109">
        <v>47.13</v>
      </c>
      <c r="H48" s="109"/>
      <c r="I48" s="109"/>
      <c r="J48" s="96" t="s">
        <v>237</v>
      </c>
      <c r="K48" s="109">
        <v>3</v>
      </c>
      <c r="L48" s="43">
        <f>VLOOKUP(K48,Reinigungstage!A10:B31,2,FALSE)</f>
        <v>114.8</v>
      </c>
      <c r="M48" s="43">
        <f t="shared" si="0"/>
        <v>5410.52</v>
      </c>
      <c r="N48" s="110">
        <f t="shared" si="1"/>
        <v>0</v>
      </c>
      <c r="O48" s="43">
        <f ca="1">IF('SVS UnterhaltsRG'!H61="",0,'SVS UnterhaltsRG'!H61)</f>
        <v>0</v>
      </c>
      <c r="P48" s="43">
        <f t="shared" si="2"/>
        <v>0</v>
      </c>
      <c r="Q48" s="43">
        <f t="shared" ca="1" si="3"/>
        <v>0</v>
      </c>
      <c r="R48" s="43">
        <f t="shared" si="4"/>
        <v>0</v>
      </c>
      <c r="S48" s="43">
        <f t="shared" ca="1" si="5"/>
        <v>0</v>
      </c>
      <c r="T48" s="3" t="str">
        <f t="shared" si="6"/>
        <v>Leistungswert eintragen</v>
      </c>
      <c r="U48" s="3">
        <f t="shared" si="7"/>
        <v>195</v>
      </c>
      <c r="V48" s="3">
        <f t="shared" si="8"/>
        <v>0</v>
      </c>
    </row>
    <row r="49" spans="1:22" ht="15" customHeight="1" x14ac:dyDescent="0.2">
      <c r="A49" s="96">
        <v>28</v>
      </c>
      <c r="B49" s="107"/>
      <c r="C49" s="108" t="s">
        <v>233</v>
      </c>
      <c r="D49" s="108"/>
      <c r="E49" s="108" t="s">
        <v>236</v>
      </c>
      <c r="F49" s="108" t="s">
        <v>218</v>
      </c>
      <c r="G49" s="109">
        <v>21.09</v>
      </c>
      <c r="H49" s="109"/>
      <c r="I49" s="109"/>
      <c r="J49" s="96" t="s">
        <v>237</v>
      </c>
      <c r="K49" s="109">
        <v>5</v>
      </c>
      <c r="L49" s="43">
        <f>VLOOKUP(K49,Reinigungstage!A10:B31,2,FALSE)</f>
        <v>191.33</v>
      </c>
      <c r="M49" s="43">
        <f t="shared" si="0"/>
        <v>4035.15</v>
      </c>
      <c r="N49" s="110">
        <f t="shared" si="1"/>
        <v>0</v>
      </c>
      <c r="O49" s="43">
        <f ca="1">IF('SVS UnterhaltsRG'!H61="",0,'SVS UnterhaltsRG'!H61)</f>
        <v>0</v>
      </c>
      <c r="P49" s="43">
        <f t="shared" si="2"/>
        <v>0</v>
      </c>
      <c r="Q49" s="43">
        <f t="shared" ca="1" si="3"/>
        <v>0</v>
      </c>
      <c r="R49" s="43">
        <f t="shared" si="4"/>
        <v>0</v>
      </c>
      <c r="S49" s="43">
        <f t="shared" ca="1" si="5"/>
        <v>0</v>
      </c>
      <c r="T49" s="3" t="str">
        <f t="shared" si="6"/>
        <v>Leistungswert eintragen</v>
      </c>
      <c r="U49" s="3">
        <f t="shared" si="7"/>
        <v>195</v>
      </c>
      <c r="V49" s="3">
        <f t="shared" si="8"/>
        <v>0</v>
      </c>
    </row>
    <row r="50" spans="1:22" ht="15" customHeight="1" x14ac:dyDescent="0.2">
      <c r="A50" s="96">
        <v>29</v>
      </c>
      <c r="B50" s="107"/>
      <c r="C50" s="108" t="s">
        <v>233</v>
      </c>
      <c r="D50" s="108"/>
      <c r="E50" s="108" t="s">
        <v>237</v>
      </c>
      <c r="F50" s="108" t="s">
        <v>218</v>
      </c>
      <c r="G50" s="109">
        <v>24.67</v>
      </c>
      <c r="H50" s="109"/>
      <c r="I50" s="109"/>
      <c r="J50" s="96" t="s">
        <v>237</v>
      </c>
      <c r="K50" s="109">
        <v>1</v>
      </c>
      <c r="L50" s="43">
        <f>VLOOKUP(K50,Reinigungstage!A10:B31,2,FALSE)</f>
        <v>39.74</v>
      </c>
      <c r="M50" s="43">
        <f t="shared" si="0"/>
        <v>980.39</v>
      </c>
      <c r="N50" s="110">
        <f t="shared" si="1"/>
        <v>0</v>
      </c>
      <c r="O50" s="43">
        <f ca="1">IF('SVS UnterhaltsRG'!H61="",0,'SVS UnterhaltsRG'!H61)</f>
        <v>0</v>
      </c>
      <c r="P50" s="43">
        <f t="shared" si="2"/>
        <v>0</v>
      </c>
      <c r="Q50" s="43">
        <f t="shared" ca="1" si="3"/>
        <v>0</v>
      </c>
      <c r="R50" s="43">
        <f t="shared" si="4"/>
        <v>0</v>
      </c>
      <c r="S50" s="43">
        <f t="shared" ca="1" si="5"/>
        <v>0</v>
      </c>
      <c r="T50" s="3" t="str">
        <f t="shared" si="6"/>
        <v>Leistungswert eintragen</v>
      </c>
      <c r="U50" s="3">
        <f t="shared" si="7"/>
        <v>195</v>
      </c>
      <c r="V50" s="3">
        <f t="shared" si="8"/>
        <v>0</v>
      </c>
    </row>
    <row r="51" spans="1:22" ht="15" customHeight="1" x14ac:dyDescent="0.2">
      <c r="A51" s="96">
        <v>30</v>
      </c>
      <c r="B51" s="107"/>
      <c r="C51" s="108" t="s">
        <v>233</v>
      </c>
      <c r="D51" s="108" t="s">
        <v>238</v>
      </c>
      <c r="E51" s="108" t="s">
        <v>217</v>
      </c>
      <c r="F51" s="108" t="s">
        <v>218</v>
      </c>
      <c r="G51" s="109">
        <v>45.72</v>
      </c>
      <c r="H51" s="109"/>
      <c r="I51" s="109"/>
      <c r="J51" s="96" t="s">
        <v>258</v>
      </c>
      <c r="K51" s="109">
        <v>5</v>
      </c>
      <c r="L51" s="43">
        <f>VLOOKUP(K51,Reinigungstage!A10:B31,2,FALSE)</f>
        <v>191.33</v>
      </c>
      <c r="M51" s="43">
        <f t="shared" si="0"/>
        <v>8747.61</v>
      </c>
      <c r="N51" s="110">
        <f t="shared" si="1"/>
        <v>0</v>
      </c>
      <c r="O51" s="43">
        <f ca="1">IF('SVS UnterhaltsRG'!H61="",0,'SVS UnterhaltsRG'!H61)</f>
        <v>0</v>
      </c>
      <c r="P51" s="43">
        <f t="shared" si="2"/>
        <v>0</v>
      </c>
      <c r="Q51" s="43">
        <f t="shared" ca="1" si="3"/>
        <v>0</v>
      </c>
      <c r="R51" s="43">
        <f t="shared" si="4"/>
        <v>0</v>
      </c>
      <c r="S51" s="43">
        <f t="shared" ca="1" si="5"/>
        <v>0</v>
      </c>
      <c r="T51" s="3" t="str">
        <f t="shared" si="6"/>
        <v>Leistungswert eintragen</v>
      </c>
      <c r="U51" s="3">
        <f t="shared" si="7"/>
        <v>240</v>
      </c>
      <c r="V51" s="3">
        <f t="shared" si="8"/>
        <v>0</v>
      </c>
    </row>
    <row r="52" spans="1:22" ht="15" customHeight="1" x14ac:dyDescent="0.2">
      <c r="A52" s="96">
        <v>31</v>
      </c>
      <c r="B52" s="107"/>
      <c r="C52" s="108" t="s">
        <v>233</v>
      </c>
      <c r="D52" s="108"/>
      <c r="E52" s="108" t="s">
        <v>217</v>
      </c>
      <c r="F52" s="108" t="s">
        <v>218</v>
      </c>
      <c r="G52" s="109">
        <v>36.96</v>
      </c>
      <c r="H52" s="109"/>
      <c r="I52" s="109"/>
      <c r="J52" s="96" t="s">
        <v>258</v>
      </c>
      <c r="K52" s="109">
        <v>5</v>
      </c>
      <c r="L52" s="43">
        <f>VLOOKUP(K52,Reinigungstage!A10:B31,2,FALSE)</f>
        <v>191.33</v>
      </c>
      <c r="M52" s="43">
        <f t="shared" si="0"/>
        <v>7071.56</v>
      </c>
      <c r="N52" s="110">
        <f t="shared" si="1"/>
        <v>0</v>
      </c>
      <c r="O52" s="43">
        <f ca="1">IF('SVS UnterhaltsRG'!H61="",0,'SVS UnterhaltsRG'!H61)</f>
        <v>0</v>
      </c>
      <c r="P52" s="43">
        <f t="shared" si="2"/>
        <v>0</v>
      </c>
      <c r="Q52" s="43">
        <f t="shared" ca="1" si="3"/>
        <v>0</v>
      </c>
      <c r="R52" s="43">
        <f t="shared" si="4"/>
        <v>0</v>
      </c>
      <c r="S52" s="43">
        <f t="shared" ca="1" si="5"/>
        <v>0</v>
      </c>
      <c r="T52" s="3" t="str">
        <f t="shared" si="6"/>
        <v>Leistungswert eintragen</v>
      </c>
      <c r="U52" s="3">
        <f t="shared" si="7"/>
        <v>240</v>
      </c>
      <c r="V52" s="3">
        <f t="shared" si="8"/>
        <v>0</v>
      </c>
    </row>
    <row r="53" spans="1:22" ht="15" customHeight="1" x14ac:dyDescent="0.2">
      <c r="A53" s="96">
        <v>32</v>
      </c>
      <c r="B53" s="107">
        <v>16</v>
      </c>
      <c r="C53" s="108" t="s">
        <v>233</v>
      </c>
      <c r="D53" s="108" t="s">
        <v>239</v>
      </c>
      <c r="E53" s="108" t="s">
        <v>217</v>
      </c>
      <c r="F53" s="108" t="s">
        <v>218</v>
      </c>
      <c r="G53" s="109">
        <v>67.53</v>
      </c>
      <c r="H53" s="109"/>
      <c r="I53" s="109"/>
      <c r="J53" s="96" t="s">
        <v>258</v>
      </c>
      <c r="K53" s="109">
        <v>5</v>
      </c>
      <c r="L53" s="43">
        <f>VLOOKUP(K53,Reinigungstage!A10:B31,2,FALSE)</f>
        <v>191.33</v>
      </c>
      <c r="M53" s="43">
        <f t="shared" si="0"/>
        <v>12920.51</v>
      </c>
      <c r="N53" s="110">
        <f t="shared" si="1"/>
        <v>0</v>
      </c>
      <c r="O53" s="43">
        <f ca="1">IF('SVS UnterhaltsRG'!H61="",0,'SVS UnterhaltsRG'!H61)</f>
        <v>0</v>
      </c>
      <c r="P53" s="43">
        <f t="shared" si="2"/>
        <v>0</v>
      </c>
      <c r="Q53" s="43">
        <f t="shared" ca="1" si="3"/>
        <v>0</v>
      </c>
      <c r="R53" s="43">
        <f t="shared" si="4"/>
        <v>0</v>
      </c>
      <c r="S53" s="43">
        <f t="shared" ca="1" si="5"/>
        <v>0</v>
      </c>
      <c r="T53" s="3" t="str">
        <f t="shared" si="6"/>
        <v>Leistungswert eintragen</v>
      </c>
      <c r="U53" s="3">
        <f t="shared" si="7"/>
        <v>240</v>
      </c>
      <c r="V53" s="3">
        <f t="shared" si="8"/>
        <v>0</v>
      </c>
    </row>
    <row r="54" spans="1:22" ht="15" customHeight="1" x14ac:dyDescent="0.2">
      <c r="A54" s="96">
        <v>33</v>
      </c>
      <c r="B54" s="107"/>
      <c r="C54" s="108" t="s">
        <v>233</v>
      </c>
      <c r="D54" s="108" t="s">
        <v>240</v>
      </c>
      <c r="E54" s="108" t="s">
        <v>217</v>
      </c>
      <c r="F54" s="108" t="s">
        <v>218</v>
      </c>
      <c r="G54" s="109">
        <v>14.83</v>
      </c>
      <c r="H54" s="109"/>
      <c r="I54" s="109"/>
      <c r="J54" s="96" t="s">
        <v>258</v>
      </c>
      <c r="K54" s="109">
        <v>5</v>
      </c>
      <c r="L54" s="43">
        <f>VLOOKUP(K54,Reinigungstage!A10:B31,2,FALSE)</f>
        <v>191.33</v>
      </c>
      <c r="M54" s="43">
        <f t="shared" ref="M54:M80" si="9">ROUND(IF(L54=0,0,L54*G54),2)</f>
        <v>2837.42</v>
      </c>
      <c r="N54" s="110">
        <f t="shared" ref="N54:N80" si="10">VLOOKUP(J54,$G$4:$H$11,2,FALSE)</f>
        <v>0</v>
      </c>
      <c r="O54" s="43">
        <f ca="1">IF('SVS UnterhaltsRG'!H61="",0,'SVS UnterhaltsRG'!H61)</f>
        <v>0</v>
      </c>
      <c r="P54" s="43">
        <f t="shared" ref="P54:P80" si="11">ROUND(IF(N54=0,0,M54/N54),2)</f>
        <v>0</v>
      </c>
      <c r="Q54" s="43">
        <f t="shared" ref="Q54:Q80" ca="1" si="12">IF(M54=0,0,IF(O54="",0,ROUND(P54*O54,2)))</f>
        <v>0</v>
      </c>
      <c r="R54" s="43">
        <f t="shared" ref="R54:R80" si="13">ROUND(IF(P54=0,0,P54/L54),2)</f>
        <v>0</v>
      </c>
      <c r="S54" s="43">
        <f t="shared" ref="S54:S80" ca="1" si="14">ROUND(IF(Q54=0,0,Q54/L54),2)</f>
        <v>0</v>
      </c>
      <c r="T54" s="3" t="str">
        <f t="shared" ref="T54:T80" si="15">IF(M54=0,"",IF(N54=0,"Leistungswert eintragen",IF(O54=0,"SVS prüfen","")))</f>
        <v>Leistungswert eintragen</v>
      </c>
      <c r="U54" s="3">
        <f t="shared" ref="U54:U80" si="16">VLOOKUP(J54,$U$4:$V$11,2,FALSE)</f>
        <v>240</v>
      </c>
      <c r="V54" s="3">
        <f t="shared" ref="V54:V80" si="17">IF(M54=0,0,IF(U54&lt;N54,1,IF(U54&gt;=N54,0,"")))</f>
        <v>0</v>
      </c>
    </row>
    <row r="55" spans="1:22" ht="15" customHeight="1" x14ac:dyDescent="0.2">
      <c r="A55" s="96">
        <v>34</v>
      </c>
      <c r="B55" s="107"/>
      <c r="C55" s="108" t="s">
        <v>233</v>
      </c>
      <c r="D55" s="108"/>
      <c r="E55" s="108" t="s">
        <v>241</v>
      </c>
      <c r="F55" s="108" t="s">
        <v>218</v>
      </c>
      <c r="G55" s="109">
        <v>6</v>
      </c>
      <c r="H55" s="109"/>
      <c r="I55" s="109"/>
      <c r="J55" s="96" t="s">
        <v>262</v>
      </c>
      <c r="K55" s="109">
        <v>0</v>
      </c>
      <c r="L55" s="43">
        <f>VLOOKUP(K55,Reinigungstage!A10:B31,2,FALSE)</f>
        <v>0</v>
      </c>
      <c r="M55" s="43">
        <f t="shared" si="9"/>
        <v>0</v>
      </c>
      <c r="N55" s="110">
        <f t="shared" si="10"/>
        <v>0</v>
      </c>
      <c r="O55" s="43">
        <f ca="1">IF('SVS UnterhaltsRG'!H61="",0,'SVS UnterhaltsRG'!H61)</f>
        <v>0</v>
      </c>
      <c r="P55" s="43">
        <f t="shared" si="11"/>
        <v>0</v>
      </c>
      <c r="Q55" s="43">
        <f t="shared" si="12"/>
        <v>0</v>
      </c>
      <c r="R55" s="43">
        <f t="shared" si="13"/>
        <v>0</v>
      </c>
      <c r="S55" s="43">
        <f t="shared" si="14"/>
        <v>0</v>
      </c>
      <c r="T55" s="3" t="str">
        <f t="shared" si="15"/>
        <v/>
      </c>
      <c r="U55" s="3">
        <f t="shared" si="16"/>
        <v>300</v>
      </c>
      <c r="V55" s="3">
        <f t="shared" si="17"/>
        <v>0</v>
      </c>
    </row>
    <row r="56" spans="1:22" ht="15" customHeight="1" x14ac:dyDescent="0.2">
      <c r="A56" s="96">
        <v>35</v>
      </c>
      <c r="B56" s="107"/>
      <c r="C56" s="108" t="s">
        <v>233</v>
      </c>
      <c r="D56" s="108"/>
      <c r="E56" s="108" t="s">
        <v>242</v>
      </c>
      <c r="F56" s="108" t="s">
        <v>220</v>
      </c>
      <c r="G56" s="109">
        <v>17.64</v>
      </c>
      <c r="H56" s="109"/>
      <c r="I56" s="109"/>
      <c r="J56" s="96" t="s">
        <v>260</v>
      </c>
      <c r="K56" s="109">
        <v>5</v>
      </c>
      <c r="L56" s="43">
        <f>VLOOKUP(K56,Reinigungstage!A10:B31,2,FALSE)</f>
        <v>191.33</v>
      </c>
      <c r="M56" s="43">
        <f t="shared" si="9"/>
        <v>3375.06</v>
      </c>
      <c r="N56" s="110">
        <f t="shared" si="10"/>
        <v>0</v>
      </c>
      <c r="O56" s="43">
        <f ca="1">IF('SVS UnterhaltsRG'!H61="",0,'SVS UnterhaltsRG'!H61)</f>
        <v>0</v>
      </c>
      <c r="P56" s="43">
        <f t="shared" si="11"/>
        <v>0</v>
      </c>
      <c r="Q56" s="43">
        <f t="shared" ca="1" si="12"/>
        <v>0</v>
      </c>
      <c r="R56" s="43">
        <f t="shared" si="13"/>
        <v>0</v>
      </c>
      <c r="S56" s="43">
        <f t="shared" ca="1" si="14"/>
        <v>0</v>
      </c>
      <c r="T56" s="3" t="str">
        <f t="shared" si="15"/>
        <v>Leistungswert eintragen</v>
      </c>
      <c r="U56" s="3">
        <f t="shared" si="16"/>
        <v>450</v>
      </c>
      <c r="V56" s="3">
        <f t="shared" si="17"/>
        <v>0</v>
      </c>
    </row>
    <row r="57" spans="1:22" ht="15" customHeight="1" x14ac:dyDescent="0.2">
      <c r="A57" s="96">
        <v>36</v>
      </c>
      <c r="B57" s="107"/>
      <c r="C57" s="108" t="s">
        <v>233</v>
      </c>
      <c r="D57" s="108"/>
      <c r="E57" s="108" t="s">
        <v>243</v>
      </c>
      <c r="F57" s="108" t="s">
        <v>220</v>
      </c>
      <c r="G57" s="109">
        <v>20</v>
      </c>
      <c r="H57" s="109"/>
      <c r="I57" s="109"/>
      <c r="J57" s="96" t="s">
        <v>260</v>
      </c>
      <c r="K57" s="109">
        <v>5</v>
      </c>
      <c r="L57" s="43">
        <f>VLOOKUP(K57,Reinigungstage!A10:B31,2,FALSE)</f>
        <v>191.33</v>
      </c>
      <c r="M57" s="43">
        <f t="shared" si="9"/>
        <v>3826.6</v>
      </c>
      <c r="N57" s="110">
        <f t="shared" si="10"/>
        <v>0</v>
      </c>
      <c r="O57" s="43">
        <f ca="1">IF('SVS UnterhaltsRG'!H61="",0,'SVS UnterhaltsRG'!H61)</f>
        <v>0</v>
      </c>
      <c r="P57" s="43">
        <f t="shared" si="11"/>
        <v>0</v>
      </c>
      <c r="Q57" s="43">
        <f t="shared" ca="1" si="12"/>
        <v>0</v>
      </c>
      <c r="R57" s="43">
        <f t="shared" si="13"/>
        <v>0</v>
      </c>
      <c r="S57" s="43">
        <f t="shared" ca="1" si="14"/>
        <v>0</v>
      </c>
      <c r="T57" s="3" t="str">
        <f t="shared" si="15"/>
        <v>Leistungswert eintragen</v>
      </c>
      <c r="U57" s="3">
        <f t="shared" si="16"/>
        <v>450</v>
      </c>
      <c r="V57" s="3">
        <f t="shared" si="17"/>
        <v>0</v>
      </c>
    </row>
    <row r="58" spans="1:22" ht="15" customHeight="1" x14ac:dyDescent="0.2">
      <c r="A58" s="96">
        <v>37</v>
      </c>
      <c r="B58" s="107"/>
      <c r="C58" s="108" t="s">
        <v>233</v>
      </c>
      <c r="D58" s="108"/>
      <c r="E58" s="108" t="s">
        <v>223</v>
      </c>
      <c r="F58" s="108" t="s">
        <v>244</v>
      </c>
      <c r="G58" s="109">
        <v>6.4</v>
      </c>
      <c r="H58" s="109"/>
      <c r="I58" s="109"/>
      <c r="J58" s="96" t="s">
        <v>223</v>
      </c>
      <c r="K58" s="109">
        <v>5</v>
      </c>
      <c r="L58" s="43">
        <f>VLOOKUP(K58,Reinigungstage!A10:B31,2,FALSE)</f>
        <v>191.33</v>
      </c>
      <c r="M58" s="43">
        <f t="shared" si="9"/>
        <v>1224.51</v>
      </c>
      <c r="N58" s="110">
        <f t="shared" si="10"/>
        <v>0</v>
      </c>
      <c r="O58" s="43">
        <f ca="1">IF('SVS UnterhaltsRG'!H61="",0,'SVS UnterhaltsRG'!H61)</f>
        <v>0</v>
      </c>
      <c r="P58" s="43">
        <f t="shared" si="11"/>
        <v>0</v>
      </c>
      <c r="Q58" s="43">
        <f t="shared" ca="1" si="12"/>
        <v>0</v>
      </c>
      <c r="R58" s="43">
        <f t="shared" si="13"/>
        <v>0</v>
      </c>
      <c r="S58" s="43">
        <f t="shared" ca="1" si="14"/>
        <v>0</v>
      </c>
      <c r="T58" s="3" t="str">
        <f t="shared" si="15"/>
        <v>Leistungswert eintragen</v>
      </c>
      <c r="U58" s="3">
        <f t="shared" si="16"/>
        <v>165</v>
      </c>
      <c r="V58" s="3">
        <f t="shared" si="17"/>
        <v>0</v>
      </c>
    </row>
    <row r="59" spans="1:22" ht="15" customHeight="1" x14ac:dyDescent="0.2">
      <c r="A59" s="96">
        <v>38</v>
      </c>
      <c r="B59" s="107"/>
      <c r="C59" s="108" t="s">
        <v>233</v>
      </c>
      <c r="D59" s="108" t="s">
        <v>245</v>
      </c>
      <c r="E59" s="108" t="s">
        <v>222</v>
      </c>
      <c r="F59" s="108" t="s">
        <v>220</v>
      </c>
      <c r="G59" s="109">
        <v>39.36</v>
      </c>
      <c r="H59" s="109"/>
      <c r="I59" s="109"/>
      <c r="J59" s="96" t="s">
        <v>260</v>
      </c>
      <c r="K59" s="109">
        <v>5</v>
      </c>
      <c r="L59" s="43">
        <f>VLOOKUP(K59,Reinigungstage!A10:B31,2,FALSE)</f>
        <v>191.33</v>
      </c>
      <c r="M59" s="43">
        <f t="shared" si="9"/>
        <v>7530.75</v>
      </c>
      <c r="N59" s="110">
        <f t="shared" si="10"/>
        <v>0</v>
      </c>
      <c r="O59" s="43">
        <f ca="1">IF('SVS UnterhaltsRG'!H61="",0,'SVS UnterhaltsRG'!H61)</f>
        <v>0</v>
      </c>
      <c r="P59" s="43">
        <f t="shared" si="11"/>
        <v>0</v>
      </c>
      <c r="Q59" s="43">
        <f t="shared" ca="1" si="12"/>
        <v>0</v>
      </c>
      <c r="R59" s="43">
        <f t="shared" si="13"/>
        <v>0</v>
      </c>
      <c r="S59" s="43">
        <f t="shared" ca="1" si="14"/>
        <v>0</v>
      </c>
      <c r="T59" s="3" t="str">
        <f t="shared" si="15"/>
        <v>Leistungswert eintragen</v>
      </c>
      <c r="U59" s="3">
        <f t="shared" si="16"/>
        <v>450</v>
      </c>
      <c r="V59" s="3">
        <f t="shared" si="17"/>
        <v>0</v>
      </c>
    </row>
    <row r="60" spans="1:22" ht="15" customHeight="1" x14ac:dyDescent="0.2">
      <c r="A60" s="96">
        <v>39</v>
      </c>
      <c r="B60" s="107"/>
      <c r="C60" s="108" t="s">
        <v>233</v>
      </c>
      <c r="D60" s="108"/>
      <c r="E60" s="108" t="s">
        <v>246</v>
      </c>
      <c r="F60" s="108" t="s">
        <v>218</v>
      </c>
      <c r="G60" s="109">
        <v>41.81</v>
      </c>
      <c r="H60" s="109"/>
      <c r="I60" s="109"/>
      <c r="J60" s="96" t="s">
        <v>258</v>
      </c>
      <c r="K60" s="109">
        <v>5</v>
      </c>
      <c r="L60" s="43">
        <f>VLOOKUP(K60,Reinigungstage!A10:B31,2,FALSE)</f>
        <v>191.33</v>
      </c>
      <c r="M60" s="43">
        <f t="shared" si="9"/>
        <v>7999.51</v>
      </c>
      <c r="N60" s="110">
        <f t="shared" si="10"/>
        <v>0</v>
      </c>
      <c r="O60" s="43">
        <f ca="1">IF('SVS UnterhaltsRG'!H61="",0,'SVS UnterhaltsRG'!H61)</f>
        <v>0</v>
      </c>
      <c r="P60" s="43">
        <f t="shared" si="11"/>
        <v>0</v>
      </c>
      <c r="Q60" s="43">
        <f t="shared" ca="1" si="12"/>
        <v>0</v>
      </c>
      <c r="R60" s="43">
        <f t="shared" si="13"/>
        <v>0</v>
      </c>
      <c r="S60" s="43">
        <f t="shared" ca="1" si="14"/>
        <v>0</v>
      </c>
      <c r="T60" s="3" t="str">
        <f t="shared" si="15"/>
        <v>Leistungswert eintragen</v>
      </c>
      <c r="U60" s="3">
        <f t="shared" si="16"/>
        <v>240</v>
      </c>
      <c r="V60" s="3">
        <f t="shared" si="17"/>
        <v>0</v>
      </c>
    </row>
    <row r="61" spans="1:22" ht="15" customHeight="1" x14ac:dyDescent="0.2">
      <c r="A61" s="96">
        <v>40</v>
      </c>
      <c r="B61" s="107"/>
      <c r="C61" s="108" t="s">
        <v>233</v>
      </c>
      <c r="D61" s="108"/>
      <c r="E61" s="108" t="s">
        <v>223</v>
      </c>
      <c r="F61" s="108" t="s">
        <v>220</v>
      </c>
      <c r="G61" s="109">
        <v>22.05</v>
      </c>
      <c r="H61" s="109"/>
      <c r="I61" s="109"/>
      <c r="J61" s="96" t="s">
        <v>223</v>
      </c>
      <c r="K61" s="109">
        <v>5</v>
      </c>
      <c r="L61" s="43">
        <f>VLOOKUP(K61,Reinigungstage!A10:B31,2,FALSE)</f>
        <v>191.33</v>
      </c>
      <c r="M61" s="43">
        <f t="shared" si="9"/>
        <v>4218.83</v>
      </c>
      <c r="N61" s="110">
        <f t="shared" si="10"/>
        <v>0</v>
      </c>
      <c r="O61" s="43">
        <f ca="1">IF('SVS UnterhaltsRG'!H61="",0,'SVS UnterhaltsRG'!H61)</f>
        <v>0</v>
      </c>
      <c r="P61" s="43">
        <f t="shared" si="11"/>
        <v>0</v>
      </c>
      <c r="Q61" s="43">
        <f t="shared" ca="1" si="12"/>
        <v>0</v>
      </c>
      <c r="R61" s="43">
        <f t="shared" si="13"/>
        <v>0</v>
      </c>
      <c r="S61" s="43">
        <f t="shared" ca="1" si="14"/>
        <v>0</v>
      </c>
      <c r="T61" s="3" t="str">
        <f t="shared" si="15"/>
        <v>Leistungswert eintragen</v>
      </c>
      <c r="U61" s="3">
        <f t="shared" si="16"/>
        <v>165</v>
      </c>
      <c r="V61" s="3">
        <f t="shared" si="17"/>
        <v>0</v>
      </c>
    </row>
    <row r="62" spans="1:22" ht="15" customHeight="1" x14ac:dyDescent="0.2">
      <c r="A62" s="96">
        <v>41</v>
      </c>
      <c r="B62" s="107"/>
      <c r="C62" s="108" t="s">
        <v>233</v>
      </c>
      <c r="D62" s="108"/>
      <c r="E62" s="108" t="s">
        <v>223</v>
      </c>
      <c r="F62" s="108" t="s">
        <v>218</v>
      </c>
      <c r="G62" s="109">
        <v>12.88</v>
      </c>
      <c r="H62" s="109"/>
      <c r="I62" s="109"/>
      <c r="J62" s="96" t="s">
        <v>223</v>
      </c>
      <c r="K62" s="109">
        <v>5</v>
      </c>
      <c r="L62" s="43">
        <f>VLOOKUP(K62,Reinigungstage!A10:B31,2,FALSE)</f>
        <v>191.33</v>
      </c>
      <c r="M62" s="43">
        <f t="shared" si="9"/>
        <v>2464.33</v>
      </c>
      <c r="N62" s="110">
        <f t="shared" si="10"/>
        <v>0</v>
      </c>
      <c r="O62" s="43">
        <f ca="1">IF('SVS UnterhaltsRG'!H61="",0,'SVS UnterhaltsRG'!H61)</f>
        <v>0</v>
      </c>
      <c r="P62" s="43">
        <f t="shared" si="11"/>
        <v>0</v>
      </c>
      <c r="Q62" s="43">
        <f t="shared" ca="1" si="12"/>
        <v>0</v>
      </c>
      <c r="R62" s="43">
        <f t="shared" si="13"/>
        <v>0</v>
      </c>
      <c r="S62" s="43">
        <f t="shared" ca="1" si="14"/>
        <v>0</v>
      </c>
      <c r="T62" s="3" t="str">
        <f t="shared" si="15"/>
        <v>Leistungswert eintragen</v>
      </c>
      <c r="U62" s="3">
        <f t="shared" si="16"/>
        <v>165</v>
      </c>
      <c r="V62" s="3">
        <f t="shared" si="17"/>
        <v>0</v>
      </c>
    </row>
    <row r="63" spans="1:22" ht="15" customHeight="1" x14ac:dyDescent="0.2">
      <c r="A63" s="96">
        <v>42</v>
      </c>
      <c r="B63" s="107"/>
      <c r="C63" s="108" t="s">
        <v>233</v>
      </c>
      <c r="D63" s="108"/>
      <c r="E63" s="108" t="s">
        <v>232</v>
      </c>
      <c r="F63" s="108" t="s">
        <v>220</v>
      </c>
      <c r="G63" s="109">
        <v>4.45</v>
      </c>
      <c r="H63" s="109"/>
      <c r="I63" s="109"/>
      <c r="J63" s="96" t="s">
        <v>223</v>
      </c>
      <c r="K63" s="109">
        <v>5</v>
      </c>
      <c r="L63" s="43">
        <f>VLOOKUP(K63,Reinigungstage!A10:B31,2,FALSE)</f>
        <v>191.33</v>
      </c>
      <c r="M63" s="43">
        <f t="shared" si="9"/>
        <v>851.42</v>
      </c>
      <c r="N63" s="110">
        <f t="shared" si="10"/>
        <v>0</v>
      </c>
      <c r="O63" s="43">
        <f ca="1">IF('SVS UnterhaltsRG'!H61="",0,'SVS UnterhaltsRG'!H61)</f>
        <v>0</v>
      </c>
      <c r="P63" s="43">
        <f t="shared" si="11"/>
        <v>0</v>
      </c>
      <c r="Q63" s="43">
        <f t="shared" ca="1" si="12"/>
        <v>0</v>
      </c>
      <c r="R63" s="43">
        <f t="shared" si="13"/>
        <v>0</v>
      </c>
      <c r="S63" s="43">
        <f t="shared" ca="1" si="14"/>
        <v>0</v>
      </c>
      <c r="T63" s="3" t="str">
        <f t="shared" si="15"/>
        <v>Leistungswert eintragen</v>
      </c>
      <c r="U63" s="3">
        <f t="shared" si="16"/>
        <v>165</v>
      </c>
      <c r="V63" s="3">
        <f t="shared" si="17"/>
        <v>0</v>
      </c>
    </row>
    <row r="64" spans="1:22" ht="15" customHeight="1" x14ac:dyDescent="0.2">
      <c r="A64" s="96">
        <v>43</v>
      </c>
      <c r="B64" s="107"/>
      <c r="C64" s="108" t="s">
        <v>233</v>
      </c>
      <c r="D64" s="108"/>
      <c r="E64" s="108" t="s">
        <v>223</v>
      </c>
      <c r="F64" s="108" t="s">
        <v>218</v>
      </c>
      <c r="G64" s="109">
        <v>7.15</v>
      </c>
      <c r="H64" s="109"/>
      <c r="I64" s="109"/>
      <c r="J64" s="96" t="s">
        <v>223</v>
      </c>
      <c r="K64" s="109">
        <v>5</v>
      </c>
      <c r="L64" s="43">
        <f>VLOOKUP(K64,Reinigungstage!A10:B31,2,FALSE)</f>
        <v>191.33</v>
      </c>
      <c r="M64" s="43">
        <f t="shared" si="9"/>
        <v>1368.01</v>
      </c>
      <c r="N64" s="110">
        <f t="shared" si="10"/>
        <v>0</v>
      </c>
      <c r="O64" s="43">
        <f ca="1">IF('SVS UnterhaltsRG'!H61="",0,'SVS UnterhaltsRG'!H61)</f>
        <v>0</v>
      </c>
      <c r="P64" s="43">
        <f t="shared" si="11"/>
        <v>0</v>
      </c>
      <c r="Q64" s="43">
        <f t="shared" ca="1" si="12"/>
        <v>0</v>
      </c>
      <c r="R64" s="43">
        <f t="shared" si="13"/>
        <v>0</v>
      </c>
      <c r="S64" s="43">
        <f t="shared" ca="1" si="14"/>
        <v>0</v>
      </c>
      <c r="T64" s="3" t="str">
        <f t="shared" si="15"/>
        <v>Leistungswert eintragen</v>
      </c>
      <c r="U64" s="3">
        <f t="shared" si="16"/>
        <v>165</v>
      </c>
      <c r="V64" s="3">
        <f t="shared" si="17"/>
        <v>0</v>
      </c>
    </row>
    <row r="65" spans="1:22" ht="15" customHeight="1" x14ac:dyDescent="0.2">
      <c r="A65" s="96">
        <v>44</v>
      </c>
      <c r="B65" s="107" t="s">
        <v>247</v>
      </c>
      <c r="C65" s="108" t="s">
        <v>248</v>
      </c>
      <c r="D65" s="108"/>
      <c r="E65" s="108" t="s">
        <v>217</v>
      </c>
      <c r="F65" s="108" t="s">
        <v>218</v>
      </c>
      <c r="G65" s="109">
        <v>61.29</v>
      </c>
      <c r="H65" s="109"/>
      <c r="I65" s="109"/>
      <c r="J65" s="96" t="s">
        <v>258</v>
      </c>
      <c r="K65" s="109">
        <v>5</v>
      </c>
      <c r="L65" s="43">
        <f>VLOOKUP(K65,Reinigungstage!A10:B31,2,FALSE)</f>
        <v>191.33</v>
      </c>
      <c r="M65" s="43">
        <f t="shared" si="9"/>
        <v>11726.62</v>
      </c>
      <c r="N65" s="110">
        <f t="shared" si="10"/>
        <v>0</v>
      </c>
      <c r="O65" s="43">
        <f ca="1">IF('SVS UnterhaltsRG'!H61="",0,'SVS UnterhaltsRG'!H61)</f>
        <v>0</v>
      </c>
      <c r="P65" s="43">
        <f t="shared" si="11"/>
        <v>0</v>
      </c>
      <c r="Q65" s="43">
        <f t="shared" ca="1" si="12"/>
        <v>0</v>
      </c>
      <c r="R65" s="43">
        <f t="shared" si="13"/>
        <v>0</v>
      </c>
      <c r="S65" s="43">
        <f t="shared" ca="1" si="14"/>
        <v>0</v>
      </c>
      <c r="T65" s="3" t="str">
        <f t="shared" si="15"/>
        <v>Leistungswert eintragen</v>
      </c>
      <c r="U65" s="3">
        <f t="shared" si="16"/>
        <v>240</v>
      </c>
      <c r="V65" s="3">
        <f t="shared" si="17"/>
        <v>0</v>
      </c>
    </row>
    <row r="66" spans="1:22" ht="15" customHeight="1" x14ac:dyDescent="0.2">
      <c r="A66" s="96">
        <v>45</v>
      </c>
      <c r="B66" s="107"/>
      <c r="C66" s="108" t="s">
        <v>248</v>
      </c>
      <c r="D66" s="108"/>
      <c r="E66" s="108" t="s">
        <v>222</v>
      </c>
      <c r="F66" s="108" t="s">
        <v>220</v>
      </c>
      <c r="G66" s="109">
        <v>69.709999999999994</v>
      </c>
      <c r="H66" s="109"/>
      <c r="I66" s="109"/>
      <c r="J66" s="96" t="s">
        <v>260</v>
      </c>
      <c r="K66" s="109">
        <v>5</v>
      </c>
      <c r="L66" s="43">
        <f>VLOOKUP(K66,Reinigungstage!A10:B31,2,FALSE)</f>
        <v>191.33</v>
      </c>
      <c r="M66" s="43">
        <f t="shared" si="9"/>
        <v>13337.61</v>
      </c>
      <c r="N66" s="110">
        <f t="shared" si="10"/>
        <v>0</v>
      </c>
      <c r="O66" s="43">
        <f ca="1">IF('SVS UnterhaltsRG'!H61="",0,'SVS UnterhaltsRG'!H61)</f>
        <v>0</v>
      </c>
      <c r="P66" s="43">
        <f t="shared" si="11"/>
        <v>0</v>
      </c>
      <c r="Q66" s="43">
        <f t="shared" ca="1" si="12"/>
        <v>0</v>
      </c>
      <c r="R66" s="43">
        <f t="shared" si="13"/>
        <v>0</v>
      </c>
      <c r="S66" s="43">
        <f t="shared" ca="1" si="14"/>
        <v>0</v>
      </c>
      <c r="T66" s="3" t="str">
        <f t="shared" si="15"/>
        <v>Leistungswert eintragen</v>
      </c>
      <c r="U66" s="3">
        <f t="shared" si="16"/>
        <v>450</v>
      </c>
      <c r="V66" s="3">
        <f t="shared" si="17"/>
        <v>0</v>
      </c>
    </row>
    <row r="67" spans="1:22" ht="15" customHeight="1" x14ac:dyDescent="0.2">
      <c r="A67" s="96">
        <v>46</v>
      </c>
      <c r="B67" s="107"/>
      <c r="C67" s="108" t="s">
        <v>248</v>
      </c>
      <c r="D67" s="108"/>
      <c r="E67" s="108" t="s">
        <v>226</v>
      </c>
      <c r="F67" s="108" t="s">
        <v>220</v>
      </c>
      <c r="G67" s="109">
        <v>9.65</v>
      </c>
      <c r="H67" s="109"/>
      <c r="I67" s="109"/>
      <c r="J67" s="96" t="s">
        <v>259</v>
      </c>
      <c r="K67" s="109">
        <v>5</v>
      </c>
      <c r="L67" s="43">
        <f>VLOOKUP(K67,Reinigungstage!A10:B31,2,FALSE)</f>
        <v>191.33</v>
      </c>
      <c r="M67" s="43">
        <f t="shared" si="9"/>
        <v>1846.33</v>
      </c>
      <c r="N67" s="110">
        <f t="shared" si="10"/>
        <v>0</v>
      </c>
      <c r="O67" s="43">
        <f ca="1">IF('SVS UnterhaltsRG'!H61="",0,'SVS UnterhaltsRG'!H61)</f>
        <v>0</v>
      </c>
      <c r="P67" s="43">
        <f t="shared" si="11"/>
        <v>0</v>
      </c>
      <c r="Q67" s="43">
        <f t="shared" ca="1" si="12"/>
        <v>0</v>
      </c>
      <c r="R67" s="43">
        <f t="shared" si="13"/>
        <v>0</v>
      </c>
      <c r="S67" s="43">
        <f t="shared" ca="1" si="14"/>
        <v>0</v>
      </c>
      <c r="T67" s="3" t="str">
        <f t="shared" si="15"/>
        <v>Leistungswert eintragen</v>
      </c>
      <c r="U67" s="3">
        <f t="shared" si="16"/>
        <v>75</v>
      </c>
      <c r="V67" s="3">
        <f t="shared" si="17"/>
        <v>0</v>
      </c>
    </row>
    <row r="68" spans="1:22" ht="15" customHeight="1" x14ac:dyDescent="0.2">
      <c r="A68" s="96">
        <v>47</v>
      </c>
      <c r="B68" s="107"/>
      <c r="C68" s="108" t="s">
        <v>248</v>
      </c>
      <c r="D68" s="108"/>
      <c r="E68" s="108" t="s">
        <v>227</v>
      </c>
      <c r="F68" s="108" t="s">
        <v>220</v>
      </c>
      <c r="G68" s="109">
        <v>11.58</v>
      </c>
      <c r="H68" s="109"/>
      <c r="I68" s="109"/>
      <c r="J68" s="96" t="s">
        <v>259</v>
      </c>
      <c r="K68" s="109">
        <v>5</v>
      </c>
      <c r="L68" s="43">
        <f>VLOOKUP(K68,Reinigungstage!A10:B31,2,FALSE)</f>
        <v>191.33</v>
      </c>
      <c r="M68" s="43">
        <f t="shared" si="9"/>
        <v>2215.6</v>
      </c>
      <c r="N68" s="110">
        <f t="shared" si="10"/>
        <v>0</v>
      </c>
      <c r="O68" s="43">
        <f ca="1">IF('SVS UnterhaltsRG'!H61="",0,'SVS UnterhaltsRG'!H61)</f>
        <v>0</v>
      </c>
      <c r="P68" s="43">
        <f t="shared" si="11"/>
        <v>0</v>
      </c>
      <c r="Q68" s="43">
        <f t="shared" ca="1" si="12"/>
        <v>0</v>
      </c>
      <c r="R68" s="43">
        <f t="shared" si="13"/>
        <v>0</v>
      </c>
      <c r="S68" s="43">
        <f t="shared" ca="1" si="14"/>
        <v>0</v>
      </c>
      <c r="T68" s="3" t="str">
        <f t="shared" si="15"/>
        <v>Leistungswert eintragen</v>
      </c>
      <c r="U68" s="3">
        <f t="shared" si="16"/>
        <v>75</v>
      </c>
      <c r="V68" s="3">
        <f t="shared" si="17"/>
        <v>0</v>
      </c>
    </row>
    <row r="69" spans="1:22" ht="15" customHeight="1" x14ac:dyDescent="0.2">
      <c r="A69" s="96">
        <v>48</v>
      </c>
      <c r="B69" s="107"/>
      <c r="C69" s="108" t="s">
        <v>248</v>
      </c>
      <c r="D69" s="108"/>
      <c r="E69" s="108" t="s">
        <v>226</v>
      </c>
      <c r="F69" s="108" t="s">
        <v>220</v>
      </c>
      <c r="G69" s="109">
        <v>11.14</v>
      </c>
      <c r="H69" s="109"/>
      <c r="I69" s="109"/>
      <c r="J69" s="96" t="s">
        <v>259</v>
      </c>
      <c r="K69" s="109">
        <v>5</v>
      </c>
      <c r="L69" s="43">
        <f>VLOOKUP(K69,Reinigungstage!A10:B31,2,FALSE)</f>
        <v>191.33</v>
      </c>
      <c r="M69" s="43">
        <f t="shared" si="9"/>
        <v>2131.42</v>
      </c>
      <c r="N69" s="110">
        <f t="shared" si="10"/>
        <v>0</v>
      </c>
      <c r="O69" s="43">
        <f ca="1">IF('SVS UnterhaltsRG'!H61="",0,'SVS UnterhaltsRG'!H61)</f>
        <v>0</v>
      </c>
      <c r="P69" s="43">
        <f t="shared" si="11"/>
        <v>0</v>
      </c>
      <c r="Q69" s="43">
        <f t="shared" ca="1" si="12"/>
        <v>0</v>
      </c>
      <c r="R69" s="43">
        <f t="shared" si="13"/>
        <v>0</v>
      </c>
      <c r="S69" s="43">
        <f t="shared" ca="1" si="14"/>
        <v>0</v>
      </c>
      <c r="T69" s="3" t="str">
        <f t="shared" si="15"/>
        <v>Leistungswert eintragen</v>
      </c>
      <c r="U69" s="3">
        <f t="shared" si="16"/>
        <v>75</v>
      </c>
      <c r="V69" s="3">
        <f t="shared" si="17"/>
        <v>0</v>
      </c>
    </row>
    <row r="70" spans="1:22" ht="15" customHeight="1" x14ac:dyDescent="0.2">
      <c r="A70" s="96">
        <v>49</v>
      </c>
      <c r="B70" s="107"/>
      <c r="C70" s="108" t="s">
        <v>248</v>
      </c>
      <c r="D70" s="108"/>
      <c r="E70" s="108" t="s">
        <v>249</v>
      </c>
      <c r="F70" s="108" t="s">
        <v>218</v>
      </c>
      <c r="G70" s="109">
        <v>22.94</v>
      </c>
      <c r="H70" s="109"/>
      <c r="I70" s="109"/>
      <c r="J70" s="96" t="s">
        <v>262</v>
      </c>
      <c r="K70" s="96" t="s">
        <v>137</v>
      </c>
      <c r="L70" s="43">
        <f>VLOOKUP(K70,Reinigungstage!A10:B31,2,FALSE)</f>
        <v>11</v>
      </c>
      <c r="M70" s="43">
        <f t="shared" si="9"/>
        <v>252.34</v>
      </c>
      <c r="N70" s="110">
        <f t="shared" si="10"/>
        <v>0</v>
      </c>
      <c r="O70" s="43">
        <f ca="1">IF('SVS UnterhaltsRG'!H61="",0,'SVS UnterhaltsRG'!H61)</f>
        <v>0</v>
      </c>
      <c r="P70" s="43">
        <f t="shared" si="11"/>
        <v>0</v>
      </c>
      <c r="Q70" s="43">
        <f t="shared" ca="1" si="12"/>
        <v>0</v>
      </c>
      <c r="R70" s="43">
        <f t="shared" si="13"/>
        <v>0</v>
      </c>
      <c r="S70" s="43">
        <f t="shared" ca="1" si="14"/>
        <v>0</v>
      </c>
      <c r="T70" s="3" t="str">
        <f t="shared" si="15"/>
        <v>Leistungswert eintragen</v>
      </c>
      <c r="U70" s="3">
        <f t="shared" si="16"/>
        <v>300</v>
      </c>
      <c r="V70" s="3">
        <f t="shared" si="17"/>
        <v>0</v>
      </c>
    </row>
    <row r="71" spans="1:22" ht="15" customHeight="1" x14ac:dyDescent="0.2">
      <c r="A71" s="96">
        <v>50</v>
      </c>
      <c r="B71" s="107"/>
      <c r="C71" s="108" t="s">
        <v>248</v>
      </c>
      <c r="D71" s="108"/>
      <c r="E71" s="108" t="s">
        <v>250</v>
      </c>
      <c r="F71" s="108" t="s">
        <v>218</v>
      </c>
      <c r="G71" s="109">
        <v>67.599999999999994</v>
      </c>
      <c r="H71" s="109"/>
      <c r="I71" s="109"/>
      <c r="J71" s="96" t="s">
        <v>263</v>
      </c>
      <c r="K71" s="109">
        <v>5</v>
      </c>
      <c r="L71" s="43">
        <f>VLOOKUP(K71,Reinigungstage!A10:B31,2,FALSE)</f>
        <v>191.33</v>
      </c>
      <c r="M71" s="43">
        <f t="shared" si="9"/>
        <v>12933.91</v>
      </c>
      <c r="N71" s="110">
        <f t="shared" si="10"/>
        <v>0</v>
      </c>
      <c r="O71" s="43">
        <f ca="1">IF('SVS UnterhaltsRG'!H61="",0,'SVS UnterhaltsRG'!H61)</f>
        <v>0</v>
      </c>
      <c r="P71" s="43">
        <f t="shared" si="11"/>
        <v>0</v>
      </c>
      <c r="Q71" s="43">
        <f t="shared" ca="1" si="12"/>
        <v>0</v>
      </c>
      <c r="R71" s="43">
        <f t="shared" si="13"/>
        <v>0</v>
      </c>
      <c r="S71" s="43">
        <f t="shared" ca="1" si="14"/>
        <v>0</v>
      </c>
      <c r="T71" s="3" t="str">
        <f t="shared" si="15"/>
        <v>Leistungswert eintragen</v>
      </c>
      <c r="U71" s="3">
        <f t="shared" si="16"/>
        <v>115</v>
      </c>
      <c r="V71" s="3">
        <f t="shared" si="17"/>
        <v>0</v>
      </c>
    </row>
    <row r="72" spans="1:22" ht="15" customHeight="1" x14ac:dyDescent="0.2">
      <c r="A72" s="96">
        <v>51</v>
      </c>
      <c r="B72" s="107"/>
      <c r="C72" s="108" t="s">
        <v>248</v>
      </c>
      <c r="D72" s="108"/>
      <c r="E72" s="108" t="s">
        <v>251</v>
      </c>
      <c r="F72" s="108" t="s">
        <v>218</v>
      </c>
      <c r="G72" s="109">
        <v>14.06</v>
      </c>
      <c r="H72" s="109"/>
      <c r="I72" s="109"/>
      <c r="J72" s="96" t="s">
        <v>263</v>
      </c>
      <c r="K72" s="109">
        <v>0</v>
      </c>
      <c r="L72" s="43">
        <f>VLOOKUP(K72,Reinigungstage!A10:B31,2,FALSE)</f>
        <v>0</v>
      </c>
      <c r="M72" s="43">
        <f t="shared" si="9"/>
        <v>0</v>
      </c>
      <c r="N72" s="110">
        <f t="shared" si="10"/>
        <v>0</v>
      </c>
      <c r="O72" s="43">
        <f ca="1">IF('SVS UnterhaltsRG'!H61="",0,'SVS UnterhaltsRG'!H61)</f>
        <v>0</v>
      </c>
      <c r="P72" s="43">
        <f t="shared" si="11"/>
        <v>0</v>
      </c>
      <c r="Q72" s="43">
        <f t="shared" si="12"/>
        <v>0</v>
      </c>
      <c r="R72" s="43">
        <f t="shared" si="13"/>
        <v>0</v>
      </c>
      <c r="S72" s="43">
        <f t="shared" si="14"/>
        <v>0</v>
      </c>
      <c r="T72" s="3" t="str">
        <f t="shared" si="15"/>
        <v/>
      </c>
      <c r="U72" s="3">
        <f t="shared" si="16"/>
        <v>115</v>
      </c>
      <c r="V72" s="3">
        <f t="shared" si="17"/>
        <v>0</v>
      </c>
    </row>
    <row r="73" spans="1:22" ht="15" customHeight="1" x14ac:dyDescent="0.2">
      <c r="A73" s="96">
        <v>52</v>
      </c>
      <c r="B73" s="107"/>
      <c r="C73" s="108" t="s">
        <v>248</v>
      </c>
      <c r="D73" s="108" t="s">
        <v>252</v>
      </c>
      <c r="E73" s="108" t="s">
        <v>253</v>
      </c>
      <c r="F73" s="108" t="s">
        <v>218</v>
      </c>
      <c r="G73" s="109">
        <v>6.15</v>
      </c>
      <c r="H73" s="109"/>
      <c r="I73" s="109"/>
      <c r="J73" s="96" t="s">
        <v>263</v>
      </c>
      <c r="K73" s="109">
        <v>0</v>
      </c>
      <c r="L73" s="43">
        <f>VLOOKUP(K73,Reinigungstage!A10:B31,2,FALSE)</f>
        <v>0</v>
      </c>
      <c r="M73" s="43">
        <f t="shared" si="9"/>
        <v>0</v>
      </c>
      <c r="N73" s="110">
        <f t="shared" si="10"/>
        <v>0</v>
      </c>
      <c r="O73" s="43">
        <f ca="1">IF('SVS UnterhaltsRG'!H61="",0,'SVS UnterhaltsRG'!H61)</f>
        <v>0</v>
      </c>
      <c r="P73" s="43">
        <f t="shared" si="11"/>
        <v>0</v>
      </c>
      <c r="Q73" s="43">
        <f t="shared" si="12"/>
        <v>0</v>
      </c>
      <c r="R73" s="43">
        <f t="shared" si="13"/>
        <v>0</v>
      </c>
      <c r="S73" s="43">
        <f t="shared" si="14"/>
        <v>0</v>
      </c>
      <c r="T73" s="3" t="str">
        <f t="shared" si="15"/>
        <v/>
      </c>
      <c r="U73" s="3">
        <f t="shared" si="16"/>
        <v>115</v>
      </c>
      <c r="V73" s="3">
        <f t="shared" si="17"/>
        <v>0</v>
      </c>
    </row>
    <row r="74" spans="1:22" ht="21" x14ac:dyDescent="0.2">
      <c r="A74" s="96">
        <v>53</v>
      </c>
      <c r="B74" s="107"/>
      <c r="C74" s="108" t="s">
        <v>248</v>
      </c>
      <c r="D74" s="108" t="s">
        <v>254</v>
      </c>
      <c r="E74" s="108" t="s">
        <v>222</v>
      </c>
      <c r="F74" s="108" t="s">
        <v>220</v>
      </c>
      <c r="G74" s="109">
        <v>16.75</v>
      </c>
      <c r="H74" s="109"/>
      <c r="I74" s="109"/>
      <c r="J74" s="96" t="s">
        <v>260</v>
      </c>
      <c r="K74" s="109">
        <v>5</v>
      </c>
      <c r="L74" s="43">
        <f>VLOOKUP(K74,Reinigungstage!A10:B31,2,FALSE)</f>
        <v>191.33</v>
      </c>
      <c r="M74" s="43">
        <f t="shared" si="9"/>
        <v>3204.78</v>
      </c>
      <c r="N74" s="110">
        <f t="shared" si="10"/>
        <v>0</v>
      </c>
      <c r="O74" s="43">
        <f ca="1">IF('SVS UnterhaltsRG'!H61="",0,'SVS UnterhaltsRG'!H61)</f>
        <v>0</v>
      </c>
      <c r="P74" s="43">
        <f t="shared" si="11"/>
        <v>0</v>
      </c>
      <c r="Q74" s="43">
        <f t="shared" ca="1" si="12"/>
        <v>0</v>
      </c>
      <c r="R74" s="43">
        <f t="shared" si="13"/>
        <v>0</v>
      </c>
      <c r="S74" s="43">
        <f t="shared" ca="1" si="14"/>
        <v>0</v>
      </c>
      <c r="T74" s="3" t="str">
        <f t="shared" si="15"/>
        <v>Leistungswert eintragen</v>
      </c>
      <c r="U74" s="3">
        <f t="shared" si="16"/>
        <v>450</v>
      </c>
      <c r="V74" s="3">
        <f t="shared" si="17"/>
        <v>0</v>
      </c>
    </row>
    <row r="75" spans="1:22" ht="15" customHeight="1" x14ac:dyDescent="0.2">
      <c r="A75" s="96">
        <v>54</v>
      </c>
      <c r="B75" s="107"/>
      <c r="C75" s="108" t="s">
        <v>248</v>
      </c>
      <c r="D75" s="108"/>
      <c r="E75" s="108" t="s">
        <v>217</v>
      </c>
      <c r="F75" s="108" t="s">
        <v>218</v>
      </c>
      <c r="G75" s="109">
        <v>45.45</v>
      </c>
      <c r="H75" s="109"/>
      <c r="I75" s="109"/>
      <c r="J75" s="96" t="s">
        <v>258</v>
      </c>
      <c r="K75" s="109">
        <v>5</v>
      </c>
      <c r="L75" s="43">
        <f>VLOOKUP(K75,Reinigungstage!A10:B31,2,FALSE)</f>
        <v>191.33</v>
      </c>
      <c r="M75" s="43">
        <f t="shared" si="9"/>
        <v>8695.9500000000007</v>
      </c>
      <c r="N75" s="110">
        <f t="shared" si="10"/>
        <v>0</v>
      </c>
      <c r="O75" s="43">
        <f ca="1">IF('SVS UnterhaltsRG'!H61="",0,'SVS UnterhaltsRG'!H61)</f>
        <v>0</v>
      </c>
      <c r="P75" s="43">
        <f t="shared" si="11"/>
        <v>0</v>
      </c>
      <c r="Q75" s="43">
        <f t="shared" ca="1" si="12"/>
        <v>0</v>
      </c>
      <c r="R75" s="43">
        <f t="shared" si="13"/>
        <v>0</v>
      </c>
      <c r="S75" s="43">
        <f t="shared" ca="1" si="14"/>
        <v>0</v>
      </c>
      <c r="T75" s="3" t="str">
        <f t="shared" si="15"/>
        <v>Leistungswert eintragen</v>
      </c>
      <c r="U75" s="3">
        <f t="shared" si="16"/>
        <v>240</v>
      </c>
      <c r="V75" s="3">
        <f t="shared" si="17"/>
        <v>0</v>
      </c>
    </row>
    <row r="76" spans="1:22" ht="15" customHeight="1" x14ac:dyDescent="0.2">
      <c r="A76" s="96">
        <v>55</v>
      </c>
      <c r="B76" s="107"/>
      <c r="C76" s="108" t="s">
        <v>248</v>
      </c>
      <c r="D76" s="108"/>
      <c r="E76" s="108" t="s">
        <v>217</v>
      </c>
      <c r="F76" s="108" t="s">
        <v>218</v>
      </c>
      <c r="G76" s="109">
        <v>32.1</v>
      </c>
      <c r="H76" s="109"/>
      <c r="I76" s="109"/>
      <c r="J76" s="96" t="s">
        <v>258</v>
      </c>
      <c r="K76" s="109">
        <v>5</v>
      </c>
      <c r="L76" s="43">
        <f>VLOOKUP(K76,Reinigungstage!A10:B31,2,FALSE)</f>
        <v>191.33</v>
      </c>
      <c r="M76" s="43">
        <f t="shared" si="9"/>
        <v>6141.69</v>
      </c>
      <c r="N76" s="110">
        <f t="shared" si="10"/>
        <v>0</v>
      </c>
      <c r="O76" s="43">
        <f ca="1">IF('SVS UnterhaltsRG'!H61="",0,'SVS UnterhaltsRG'!H61)</f>
        <v>0</v>
      </c>
      <c r="P76" s="43">
        <f t="shared" si="11"/>
        <v>0</v>
      </c>
      <c r="Q76" s="43">
        <f t="shared" ca="1" si="12"/>
        <v>0</v>
      </c>
      <c r="R76" s="43">
        <f t="shared" si="13"/>
        <v>0</v>
      </c>
      <c r="S76" s="43">
        <f t="shared" ca="1" si="14"/>
        <v>0</v>
      </c>
      <c r="T76" s="3" t="str">
        <f t="shared" si="15"/>
        <v>Leistungswert eintragen</v>
      </c>
      <c r="U76" s="3">
        <f t="shared" si="16"/>
        <v>240</v>
      </c>
      <c r="V76" s="3">
        <f t="shared" si="17"/>
        <v>0</v>
      </c>
    </row>
    <row r="77" spans="1:22" ht="15" customHeight="1" x14ac:dyDescent="0.2">
      <c r="A77" s="96">
        <v>56</v>
      </c>
      <c r="B77" s="107"/>
      <c r="C77" s="108" t="s">
        <v>248</v>
      </c>
      <c r="D77" s="108"/>
      <c r="E77" s="108" t="s">
        <v>227</v>
      </c>
      <c r="F77" s="108" t="s">
        <v>220</v>
      </c>
      <c r="G77" s="109">
        <v>11.33</v>
      </c>
      <c r="H77" s="109"/>
      <c r="I77" s="109"/>
      <c r="J77" s="96" t="s">
        <v>259</v>
      </c>
      <c r="K77" s="109">
        <v>5</v>
      </c>
      <c r="L77" s="43">
        <f>VLOOKUP(K77,Reinigungstage!A10:B31,2,FALSE)</f>
        <v>191.33</v>
      </c>
      <c r="M77" s="43">
        <f t="shared" si="9"/>
        <v>2167.77</v>
      </c>
      <c r="N77" s="110">
        <f t="shared" si="10"/>
        <v>0</v>
      </c>
      <c r="O77" s="43">
        <f ca="1">IF('SVS UnterhaltsRG'!H61="",0,'SVS UnterhaltsRG'!H61)</f>
        <v>0</v>
      </c>
      <c r="P77" s="43">
        <f t="shared" si="11"/>
        <v>0</v>
      </c>
      <c r="Q77" s="43">
        <f t="shared" ca="1" si="12"/>
        <v>0</v>
      </c>
      <c r="R77" s="43">
        <f t="shared" si="13"/>
        <v>0</v>
      </c>
      <c r="S77" s="43">
        <f t="shared" ca="1" si="14"/>
        <v>0</v>
      </c>
      <c r="T77" s="3" t="str">
        <f t="shared" si="15"/>
        <v>Leistungswert eintragen</v>
      </c>
      <c r="U77" s="3">
        <f t="shared" si="16"/>
        <v>75</v>
      </c>
      <c r="V77" s="3">
        <f t="shared" si="17"/>
        <v>0</v>
      </c>
    </row>
    <row r="78" spans="1:22" ht="15" customHeight="1" x14ac:dyDescent="0.2">
      <c r="A78" s="96">
        <v>57</v>
      </c>
      <c r="B78" s="107"/>
      <c r="C78" s="108" t="s">
        <v>248</v>
      </c>
      <c r="D78" s="108" t="s">
        <v>255</v>
      </c>
      <c r="E78" s="108" t="s">
        <v>217</v>
      </c>
      <c r="F78" s="108" t="s">
        <v>218</v>
      </c>
      <c r="G78" s="109">
        <v>25.22</v>
      </c>
      <c r="H78" s="109"/>
      <c r="I78" s="109"/>
      <c r="J78" s="96" t="s">
        <v>258</v>
      </c>
      <c r="K78" s="109">
        <v>2.5</v>
      </c>
      <c r="L78" s="43">
        <f>VLOOKUP(K78,Reinigungstage!A10:B31,2,FALSE)</f>
        <v>95.67</v>
      </c>
      <c r="M78" s="43">
        <f t="shared" si="9"/>
        <v>2412.8000000000002</v>
      </c>
      <c r="N78" s="110">
        <f t="shared" si="10"/>
        <v>0</v>
      </c>
      <c r="O78" s="43">
        <f ca="1">IF('SVS UnterhaltsRG'!H61="",0,'SVS UnterhaltsRG'!H61)</f>
        <v>0</v>
      </c>
      <c r="P78" s="43">
        <f t="shared" si="11"/>
        <v>0</v>
      </c>
      <c r="Q78" s="43">
        <f t="shared" ca="1" si="12"/>
        <v>0</v>
      </c>
      <c r="R78" s="43">
        <f t="shared" si="13"/>
        <v>0</v>
      </c>
      <c r="S78" s="43">
        <f t="shared" ca="1" si="14"/>
        <v>0</v>
      </c>
      <c r="T78" s="3" t="str">
        <f t="shared" si="15"/>
        <v>Leistungswert eintragen</v>
      </c>
      <c r="U78" s="3">
        <f t="shared" si="16"/>
        <v>240</v>
      </c>
      <c r="V78" s="3">
        <f t="shared" si="17"/>
        <v>0</v>
      </c>
    </row>
    <row r="79" spans="1:22" ht="15" customHeight="1" x14ac:dyDescent="0.2">
      <c r="A79" s="96">
        <v>58</v>
      </c>
      <c r="B79" s="107"/>
      <c r="C79" s="108" t="s">
        <v>248</v>
      </c>
      <c r="D79" s="108" t="s">
        <v>255</v>
      </c>
      <c r="E79" s="108" t="s">
        <v>217</v>
      </c>
      <c r="F79" s="108" t="s">
        <v>218</v>
      </c>
      <c r="G79" s="109">
        <v>20.12</v>
      </c>
      <c r="H79" s="109"/>
      <c r="I79" s="109"/>
      <c r="J79" s="96" t="s">
        <v>258</v>
      </c>
      <c r="K79" s="109">
        <v>2.5</v>
      </c>
      <c r="L79" s="43">
        <f>VLOOKUP(K79,Reinigungstage!A10:B31,2,FALSE)</f>
        <v>95.67</v>
      </c>
      <c r="M79" s="43">
        <f t="shared" si="9"/>
        <v>1924.88</v>
      </c>
      <c r="N79" s="110">
        <f t="shared" si="10"/>
        <v>0</v>
      </c>
      <c r="O79" s="43">
        <f ca="1">IF('SVS UnterhaltsRG'!H61="",0,'SVS UnterhaltsRG'!H61)</f>
        <v>0</v>
      </c>
      <c r="P79" s="43">
        <f t="shared" si="11"/>
        <v>0</v>
      </c>
      <c r="Q79" s="43">
        <f t="shared" ca="1" si="12"/>
        <v>0</v>
      </c>
      <c r="R79" s="43">
        <f t="shared" si="13"/>
        <v>0</v>
      </c>
      <c r="S79" s="43">
        <f t="shared" ca="1" si="14"/>
        <v>0</v>
      </c>
      <c r="T79" s="3" t="str">
        <f t="shared" si="15"/>
        <v>Leistungswert eintragen</v>
      </c>
      <c r="U79" s="3">
        <f t="shared" si="16"/>
        <v>240</v>
      </c>
      <c r="V79" s="3">
        <f t="shared" si="17"/>
        <v>0</v>
      </c>
    </row>
    <row r="80" spans="1:22" ht="15" customHeight="1" x14ac:dyDescent="0.2">
      <c r="A80" s="96">
        <v>59</v>
      </c>
      <c r="B80" s="107" t="s">
        <v>256</v>
      </c>
      <c r="C80" s="108" t="s">
        <v>248</v>
      </c>
      <c r="D80" s="108"/>
      <c r="E80" s="108" t="s">
        <v>257</v>
      </c>
      <c r="F80" s="108" t="s">
        <v>218</v>
      </c>
      <c r="G80" s="109">
        <v>16.53</v>
      </c>
      <c r="H80" s="109"/>
      <c r="I80" s="109"/>
      <c r="J80" s="96" t="s">
        <v>262</v>
      </c>
      <c r="K80" s="96" t="s">
        <v>143</v>
      </c>
      <c r="L80" s="43">
        <f>VLOOKUP(K80,Reinigungstage!A10:B31,2,FALSE)</f>
        <v>1</v>
      </c>
      <c r="M80" s="43">
        <f t="shared" si="9"/>
        <v>16.53</v>
      </c>
      <c r="N80" s="110">
        <f t="shared" si="10"/>
        <v>0</v>
      </c>
      <c r="O80" s="43">
        <f ca="1">IF('SVS UnterhaltsRG'!H61="",0,'SVS UnterhaltsRG'!H61)</f>
        <v>0</v>
      </c>
      <c r="P80" s="43">
        <f t="shared" si="11"/>
        <v>0</v>
      </c>
      <c r="Q80" s="43">
        <f t="shared" ca="1" si="12"/>
        <v>0</v>
      </c>
      <c r="R80" s="43">
        <f t="shared" si="13"/>
        <v>0</v>
      </c>
      <c r="S80" s="43">
        <f t="shared" ca="1" si="14"/>
        <v>0</v>
      </c>
      <c r="T80" s="3" t="str">
        <f t="shared" si="15"/>
        <v>Leistungswert eintragen</v>
      </c>
      <c r="U80" s="3">
        <f t="shared" si="16"/>
        <v>300</v>
      </c>
      <c r="V80" s="3">
        <f t="shared" si="17"/>
        <v>0</v>
      </c>
    </row>
  </sheetData>
  <sheetProtection algorithmName="SHA-512" hashValue="+MH01gGXiL+ARHbLKBqN4ycZ+S7Fj+NWiDHhJ17p/haoFAD/Sh6vZhDfFOjKWQHliYvy2oSdSDSm+vtOFSNN9w==" saltValue="Iyo3660YDFFbJNcvzGLdBg=="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28"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27" priority="5" operator="containsText" text="Bitte prüfen Sie diese.">
      <formula>NOT(ISERROR(SEARCH("Bitte prüfen Sie diese.",L9)))</formula>
    </cfRule>
  </conditionalFormatting>
  <conditionalFormatting sqref="L10">
    <cfRule type="containsText" dxfId="126"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25" priority="3" operator="containsText" text="lediglich Fehleingaben vermeiden wollen.">
      <formula>NOT(ISERROR(SEARCH("lediglich Fehleingaben vermeiden wollen.",L11)))</formula>
    </cfRule>
  </conditionalFormatting>
  <conditionalFormatting sqref="M11">
    <cfRule type="containsText" dxfId="124"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23" priority="7" operator="containsText" text="für die Objektart prüfen.">
      <formula>NOT(ISERROR(SEARCH("für die Objektart prüfen.",M12)))</formula>
    </cfRule>
  </conditionalFormatting>
  <conditionalFormatting sqref="N13">
    <cfRule type="expression" dxfId="122" priority="2" stopIfTrue="1">
      <formula>N13=0</formula>
    </cfRule>
  </conditionalFormatting>
  <conditionalFormatting sqref="N14">
    <cfRule type="expression" dxfId="121" priority="1">
      <formula>N14=0</formula>
    </cfRule>
  </conditionalFormatting>
  <conditionalFormatting sqref="N22:N80">
    <cfRule type="expression" dxfId="120" priority="11">
      <formula>V22=0</formula>
    </cfRule>
    <cfRule type="expression" dxfId="119" priority="12" stopIfTrue="1">
      <formula>V22=1</formula>
    </cfRule>
  </conditionalFormatting>
  <conditionalFormatting sqref="O13">
    <cfRule type="containsText" dxfId="118"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17" priority="9" operator="containsText" text="Wert(e) prüfen.">
      <formula>NOT(ISERROR(SEARCH("Wert(e) prüfen.",O14)))</formula>
    </cfRule>
  </conditionalFormatting>
  <conditionalFormatting sqref="T22:T80">
    <cfRule type="containsText" dxfId="116" priority="13" stopIfTrue="1" operator="containsText" text="SVS prüfen">
      <formula>NOT(ISERROR(SEARCH("SVS prüfen",T22)))</formula>
    </cfRule>
    <cfRule type="containsText" dxfId="115" priority="14" stopIfTrue="1" operator="containsText" text="Leistungswert eintragen">
      <formula>NOT(ISERROR(SEARCH("Leistungswert eintragen",T22)))</formula>
    </cfRule>
  </conditionalFormatting>
  <hyperlinks>
    <hyperlink ref="M1" location="Inhaltsverzeichnis!A1" display="Zurück zum Inhaltsverzeichnis" xr:uid="{628FD59F-4AF1-46C0-9F45-A4D756F801D4}"/>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Unter GS Pannwitz</oddFooter>
  </headerFooter>
  <rowBreaks count="1" manualBreakCount="1">
    <brk id="80"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4450"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4451"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4452"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67541-7DD2-40FF-8AD4-21CAA2DD5FF9}">
  <sheetPr codeName="Tabelle34">
    <tabColor indexed="40"/>
  </sheetPr>
  <dimension ref="A1:X75"/>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7" t="s">
        <v>151</v>
      </c>
      <c r="B2" s="158"/>
      <c r="C2" s="158"/>
      <c r="D2" s="158"/>
      <c r="E2" s="159"/>
      <c r="G2" s="160" t="s">
        <v>164</v>
      </c>
      <c r="H2" s="160" t="s">
        <v>156</v>
      </c>
      <c r="I2" s="160" t="s">
        <v>157</v>
      </c>
      <c r="J2" s="160" t="s">
        <v>176</v>
      </c>
      <c r="M2" s="92"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4" customHeight="1" x14ac:dyDescent="0.2">
      <c r="A3" s="93" t="s">
        <v>159</v>
      </c>
      <c r="B3" s="94"/>
      <c r="C3" s="94"/>
      <c r="D3" s="94"/>
      <c r="E3" s="95"/>
      <c r="G3" s="161"/>
      <c r="H3" s="161"/>
      <c r="I3" s="161"/>
      <c r="J3" s="161"/>
      <c r="M3" s="92" t="b">
        <v>0</v>
      </c>
      <c r="N3" s="132"/>
      <c r="O3" s="132"/>
      <c r="P3" s="132"/>
      <c r="Q3" s="132"/>
    </row>
    <row r="4" spans="1:22" ht="18.600000000000001" customHeight="1" x14ac:dyDescent="0.2">
      <c r="A4" s="155" t="s">
        <v>91</v>
      </c>
      <c r="B4" s="165" t="str">
        <f>IF(Inhaltsverzeichnis!C3="","",Inhaltsverzeichnis!C3)</f>
        <v/>
      </c>
      <c r="C4" s="166"/>
      <c r="D4" s="166"/>
      <c r="E4" s="167"/>
      <c r="G4" s="96" t="s">
        <v>237</v>
      </c>
      <c r="H4" s="97"/>
      <c r="I4" s="98">
        <f ca="1">SUMIF('Kal Grund GS Pannwitz'!J22:M75,$G$4,'Kal Grund GS Pannwitz'!M22:M75)</f>
        <v>92.89</v>
      </c>
      <c r="J4" s="69">
        <f>COUNTIFS('Kal Grund GS Pannwitz'!J22:M75,$G$4)</f>
        <v>3</v>
      </c>
      <c r="M4" s="92" t="b">
        <v>0</v>
      </c>
      <c r="N4" s="132"/>
      <c r="O4" s="132"/>
      <c r="P4" s="132"/>
      <c r="Q4" s="132"/>
      <c r="U4" s="96" t="s">
        <v>237</v>
      </c>
      <c r="V4" s="3">
        <v>13</v>
      </c>
    </row>
    <row r="5" spans="1:22" ht="15" customHeight="1" x14ac:dyDescent="0.2">
      <c r="A5" s="156"/>
      <c r="B5" s="168"/>
      <c r="C5" s="169"/>
      <c r="D5" s="169"/>
      <c r="E5" s="170"/>
      <c r="G5" s="96" t="s">
        <v>261</v>
      </c>
      <c r="H5" s="97"/>
      <c r="I5" s="98">
        <f ca="1">SUMIF('Kal Grund GS Pannwitz'!J22:M75,$G$5,'Kal Grund GS Pannwitz'!M22:M75)</f>
        <v>119.63000000000001</v>
      </c>
      <c r="J5" s="69">
        <f>COUNTIFS('Kal Grund GS Pannwitz'!J22:M75,$G$5)</f>
        <v>4</v>
      </c>
      <c r="M5" s="92" t="b">
        <v>0</v>
      </c>
      <c r="N5" s="132"/>
      <c r="O5" s="132"/>
      <c r="P5" s="132"/>
      <c r="Q5" s="132"/>
      <c r="U5" s="96" t="s">
        <v>261</v>
      </c>
      <c r="V5" s="3">
        <v>15</v>
      </c>
    </row>
    <row r="6" spans="1:22" ht="15" customHeight="1" x14ac:dyDescent="0.2">
      <c r="A6" s="99" t="s">
        <v>174</v>
      </c>
      <c r="B6" s="171" t="s">
        <v>201</v>
      </c>
      <c r="C6" s="172"/>
      <c r="D6" s="172"/>
      <c r="E6" s="173"/>
      <c r="G6" s="96" t="s">
        <v>259</v>
      </c>
      <c r="H6" s="97"/>
      <c r="I6" s="98">
        <f ca="1">SUMIF('Kal Grund GS Pannwitz'!J22:M75,$G$6,'Kal Grund GS Pannwitz'!M22:M75)</f>
        <v>78.83</v>
      </c>
      <c r="J6" s="69">
        <f>COUNTIFS('Kal Grund GS Pannwitz'!J22:M75,$G$6)</f>
        <v>8</v>
      </c>
      <c r="U6" s="96" t="s">
        <v>259</v>
      </c>
      <c r="V6" s="3">
        <v>7</v>
      </c>
    </row>
    <row r="7" spans="1:22" ht="15" customHeight="1" x14ac:dyDescent="0.2">
      <c r="A7" s="100" t="s">
        <v>172</v>
      </c>
      <c r="B7" s="174" t="s">
        <v>202</v>
      </c>
      <c r="C7" s="172"/>
      <c r="D7" s="172"/>
      <c r="E7" s="173"/>
      <c r="G7" s="96" t="s">
        <v>223</v>
      </c>
      <c r="H7" s="97"/>
      <c r="I7" s="98">
        <f ca="1">SUMIF('Kal Grund GS Pannwitz'!J22:M75,$G$7,'Kal Grund GS Pannwitz'!M22:M75)</f>
        <v>130.44999999999999</v>
      </c>
      <c r="J7" s="69">
        <f>COUNTIFS('Kal Grund GS Pannwitz'!J22:M75,$G$7)</f>
        <v>12</v>
      </c>
      <c r="U7" s="96" t="s">
        <v>262</v>
      </c>
      <c r="V7" s="3">
        <v>20</v>
      </c>
    </row>
    <row r="8" spans="1:22" ht="15" customHeight="1" x14ac:dyDescent="0.2">
      <c r="A8" s="100" t="s">
        <v>173</v>
      </c>
      <c r="B8" s="171" t="s">
        <v>203</v>
      </c>
      <c r="C8" s="172"/>
      <c r="D8" s="172"/>
      <c r="E8" s="173"/>
      <c r="G8" s="96" t="s">
        <v>258</v>
      </c>
      <c r="H8" s="97"/>
      <c r="I8" s="98">
        <f ca="1">SUMIF('Kal Grund GS Pannwitz'!J22:M75,$G$8,'Kal Grund GS Pannwitz'!M22:M75)</f>
        <v>780.83000000000015</v>
      </c>
      <c r="J8" s="69">
        <f>COUNTIFS('Kal Grund GS Pannwitz'!J22:M75,$G$8)</f>
        <v>19</v>
      </c>
      <c r="L8" s="111" t="str">
        <f>IF(N14&gt;0,"Ihre Eintragungen der Leistungswerte liegen weit über den Erfahrungswerten aus der Preisschätzung.","")</f>
        <v/>
      </c>
      <c r="U8" s="96" t="s">
        <v>223</v>
      </c>
      <c r="V8" s="3">
        <v>14</v>
      </c>
    </row>
    <row r="9" spans="1:22" ht="15" customHeight="1" x14ac:dyDescent="0.2">
      <c r="A9" s="99" t="s">
        <v>171</v>
      </c>
      <c r="B9" s="175" t="s">
        <v>200</v>
      </c>
      <c r="C9" s="172"/>
      <c r="D9" s="172"/>
      <c r="E9" s="173"/>
      <c r="G9" s="96" t="s">
        <v>260</v>
      </c>
      <c r="H9" s="97"/>
      <c r="I9" s="98">
        <f ca="1">SUMIF('Kal Grund GS Pannwitz'!J22:M75,$G$9,'Kal Grund GS Pannwitz'!M22:M75)</f>
        <v>326.04000000000002</v>
      </c>
      <c r="J9" s="69">
        <f>COUNTIFS('Kal Grund GS Pannwitz'!J22:M75,$G$9)</f>
        <v>7</v>
      </c>
      <c r="L9" s="111" t="str">
        <f>IF(N14&gt;0,"Bitte prüfen Sie diese.","")</f>
        <v/>
      </c>
      <c r="U9" s="96" t="s">
        <v>258</v>
      </c>
      <c r="V9" s="3">
        <v>14</v>
      </c>
    </row>
    <row r="10" spans="1:22" ht="15" customHeight="1" x14ac:dyDescent="0.2">
      <c r="A10" s="100" t="s">
        <v>153</v>
      </c>
      <c r="B10" s="171" t="s">
        <v>204</v>
      </c>
      <c r="C10" s="172"/>
      <c r="D10" s="172"/>
      <c r="E10" s="173"/>
      <c r="G10" s="96" t="s">
        <v>263</v>
      </c>
      <c r="H10" s="97"/>
      <c r="I10" s="98">
        <f ca="1">SUMIF('Kal Grund GS Pannwitz'!J22:M75,$G$10,'Kal Grund GS Pannwitz'!M22:M75)</f>
        <v>67.599999999999994</v>
      </c>
      <c r="J10" s="69">
        <f>COUNTIFS('Kal Grund GS Pannwitz'!J22:M75,$G$10)</f>
        <v>1</v>
      </c>
      <c r="L10" s="111" t="str">
        <f>IF(N14&gt;0,"Beachten Sie, dass Sie frei in der Kalkulation dieser Leistungswerte sind und wir durch den Hinweis","")</f>
        <v/>
      </c>
      <c r="U10" s="96" t="s">
        <v>260</v>
      </c>
      <c r="V10" s="3">
        <v>24</v>
      </c>
    </row>
    <row r="11" spans="1:22" ht="15" customHeight="1" x14ac:dyDescent="0.2">
      <c r="A11" s="100" t="s">
        <v>154</v>
      </c>
      <c r="B11" s="176" t="s">
        <v>205</v>
      </c>
      <c r="C11" s="172"/>
      <c r="D11" s="172"/>
      <c r="E11" s="173"/>
      <c r="L11" s="111" t="str">
        <f>IF(N14&gt;0,"lediglich Fehleingaben vermeiden wollen.","")</f>
        <v/>
      </c>
      <c r="U11" s="96" t="s">
        <v>263</v>
      </c>
      <c r="V11" s="3">
        <v>16.5</v>
      </c>
    </row>
    <row r="12" spans="1:22" ht="15" customHeight="1" x14ac:dyDescent="0.2">
      <c r="A12" s="100" t="s">
        <v>155</v>
      </c>
      <c r="B12" s="171" t="s">
        <v>206</v>
      </c>
      <c r="C12" s="172"/>
      <c r="D12" s="172"/>
      <c r="E12" s="173"/>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row>
    <row r="14" spans="1:22" ht="15" customHeight="1" x14ac:dyDescent="0.2">
      <c r="N14" s="101">
        <f>COUNTIF(X22:X$75,1)</f>
        <v>0</v>
      </c>
      <c r="O14" s="3" t="str">
        <f>IF(N14&gt;0,"Wert(e) prüfen.","")</f>
        <v/>
      </c>
      <c r="S14" s="103">
        <f>IF(COUNTA($S$22:$S$75)-COUNTBLANK($S$22:$S$75)=0,"",COUNTA($S$22:$S$75)-COUNTBLANK($S$22:$S$75))</f>
        <v>54</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134</v>
      </c>
    </row>
    <row r="21" spans="1:24" ht="29.1" customHeight="1" x14ac:dyDescent="0.2">
      <c r="A21" s="104" t="s">
        <v>119</v>
      </c>
      <c r="B21" s="12"/>
      <c r="C21" s="12"/>
      <c r="D21" s="12"/>
      <c r="E21" s="12"/>
      <c r="F21" s="12"/>
      <c r="G21" s="105">
        <f>SUM($G$22:$G$75)</f>
        <v>1596.27</v>
      </c>
      <c r="H21" s="105">
        <f>SUM($H$22:$H$75)</f>
        <v>0</v>
      </c>
      <c r="I21" s="105">
        <f>SUM($I$22:$I$75)</f>
        <v>0</v>
      </c>
      <c r="J21" s="43"/>
      <c r="K21" s="43"/>
      <c r="L21" s="106">
        <f>MAX(L22:L75)</f>
        <v>1</v>
      </c>
      <c r="M21" s="105">
        <f>SUM($M$22:$M$75)</f>
        <v>1596.27</v>
      </c>
      <c r="N21" s="43"/>
      <c r="O21" s="43"/>
      <c r="P21" s="105">
        <f>SUM($P$22:$P$75)</f>
        <v>0</v>
      </c>
      <c r="Q21" s="105">
        <f>SUM($Q$22:$Q$75)</f>
        <v>0</v>
      </c>
      <c r="R21" s="105">
        <f>ROUND(IF(Q21=0,0,Q21/L21),2)</f>
        <v>0</v>
      </c>
    </row>
    <row r="22" spans="1:24" ht="15" customHeight="1" x14ac:dyDescent="0.2">
      <c r="A22" s="96">
        <v>1</v>
      </c>
      <c r="B22" s="107"/>
      <c r="C22" s="108" t="s">
        <v>216</v>
      </c>
      <c r="D22" s="108"/>
      <c r="E22" s="108" t="s">
        <v>217</v>
      </c>
      <c r="F22" s="108" t="s">
        <v>218</v>
      </c>
      <c r="G22" s="109">
        <v>21.16</v>
      </c>
      <c r="H22" s="109"/>
      <c r="I22" s="109"/>
      <c r="J22" s="96" t="s">
        <v>258</v>
      </c>
      <c r="K22" s="96" t="s">
        <v>143</v>
      </c>
      <c r="L22" s="43">
        <f>VLOOKUP(K22,Reinigungstage!A10:D31,4,FALSE)</f>
        <v>1</v>
      </c>
      <c r="M22" s="43">
        <f t="shared" ref="M22:M53" si="0">ROUND(IF(L22=0,0,L22*G22),2)</f>
        <v>21.16</v>
      </c>
      <c r="N22" s="110">
        <f t="shared" ref="N22:N53" si="1">VLOOKUP(J22,$G$4:$H$10,2,FALSE)</f>
        <v>0</v>
      </c>
      <c r="O22" s="43">
        <f ca="1">IF('SVS GrundRG'!H61="",0,'SVS GrundRG'!H61)</f>
        <v>0</v>
      </c>
      <c r="P22" s="43">
        <f t="shared" ref="P22:P53" si="2">ROUND(IF(N22=0,0,M22/N22),2)</f>
        <v>0</v>
      </c>
      <c r="Q22" s="43">
        <f t="shared" ref="Q22:Q53" si="3">ROUND(IF(P22=0,0,P22*O22),2)</f>
        <v>0</v>
      </c>
      <c r="R22" s="43">
        <f t="shared" ref="R22:R53" si="4">ROUND(IF(P22=0,0,Q22/L22),2)</f>
        <v>0</v>
      </c>
      <c r="S22" s="3" t="str">
        <f t="shared" ref="S22:S53" si="5">IF(M22=0,"",IF(N22=0,"Leistungswert eintragen",IF(O22=0,"SVS prüfen","")))</f>
        <v>Leistungswert eintragen</v>
      </c>
      <c r="U22" s="3">
        <f t="shared" ref="U22:U53" si="6">VLOOKUP(J22,$U$4:$V$11,2,FALSE)</f>
        <v>14</v>
      </c>
      <c r="V22" s="3">
        <f t="shared" ref="V22:V53" si="7">U22*30%</f>
        <v>4.2</v>
      </c>
      <c r="W22" s="3">
        <f t="shared" ref="W22:W53" si="8">SUM(U22:V22)</f>
        <v>18.2</v>
      </c>
      <c r="X22" s="3" t="str">
        <f t="shared" ref="X22:X53" si="9">IF(N22=0,"",IF(W22&lt;N22,1,IF(W22&gt;=N22,0,"")))</f>
        <v/>
      </c>
    </row>
    <row r="23" spans="1:24" ht="15" customHeight="1" x14ac:dyDescent="0.2">
      <c r="A23" s="96">
        <v>2</v>
      </c>
      <c r="B23" s="107"/>
      <c r="C23" s="108" t="s">
        <v>216</v>
      </c>
      <c r="D23" s="108"/>
      <c r="E23" s="108" t="s">
        <v>219</v>
      </c>
      <c r="F23" s="108" t="s">
        <v>220</v>
      </c>
      <c r="G23" s="109">
        <v>7.44</v>
      </c>
      <c r="H23" s="109"/>
      <c r="I23" s="109"/>
      <c r="J23" s="96" t="s">
        <v>259</v>
      </c>
      <c r="K23" s="96" t="s">
        <v>143</v>
      </c>
      <c r="L23" s="43">
        <f>VLOOKUP(K23,Reinigungstage!A10:D31,4,FALSE)</f>
        <v>1</v>
      </c>
      <c r="M23" s="43">
        <f t="shared" si="0"/>
        <v>7.44</v>
      </c>
      <c r="N23" s="110">
        <f t="shared" si="1"/>
        <v>0</v>
      </c>
      <c r="O23" s="43">
        <f ca="1">IF('SVS GrundRG'!H61="",0,'SVS GrundRG'!H61)</f>
        <v>0</v>
      </c>
      <c r="P23" s="43">
        <f t="shared" si="2"/>
        <v>0</v>
      </c>
      <c r="Q23" s="43">
        <f t="shared" si="3"/>
        <v>0</v>
      </c>
      <c r="R23" s="43">
        <f t="shared" si="4"/>
        <v>0</v>
      </c>
      <c r="S23" s="3" t="str">
        <f t="shared" si="5"/>
        <v>Leistungswert eintragen</v>
      </c>
      <c r="U23" s="3">
        <f t="shared" si="6"/>
        <v>7</v>
      </c>
      <c r="V23" s="3">
        <f t="shared" si="7"/>
        <v>2.1</v>
      </c>
      <c r="W23" s="3">
        <f t="shared" si="8"/>
        <v>9.1</v>
      </c>
      <c r="X23" s="3" t="str">
        <f t="shared" si="9"/>
        <v/>
      </c>
    </row>
    <row r="24" spans="1:24" ht="15" customHeight="1" x14ac:dyDescent="0.2">
      <c r="A24" s="96">
        <v>3</v>
      </c>
      <c r="B24" s="107"/>
      <c r="C24" s="108" t="s">
        <v>216</v>
      </c>
      <c r="D24" s="108"/>
      <c r="E24" s="108" t="s">
        <v>221</v>
      </c>
      <c r="F24" s="108" t="s">
        <v>220</v>
      </c>
      <c r="G24" s="109">
        <v>4.5</v>
      </c>
      <c r="H24" s="109"/>
      <c r="I24" s="109"/>
      <c r="J24" s="96" t="s">
        <v>259</v>
      </c>
      <c r="K24" s="96" t="s">
        <v>143</v>
      </c>
      <c r="L24" s="43">
        <f>VLOOKUP(K24,Reinigungstage!A10:D31,4,FALSE)</f>
        <v>1</v>
      </c>
      <c r="M24" s="43">
        <f t="shared" si="0"/>
        <v>4.5</v>
      </c>
      <c r="N24" s="110">
        <f t="shared" si="1"/>
        <v>0</v>
      </c>
      <c r="O24" s="43">
        <f ca="1">IF('SVS GrundRG'!H61="",0,'SVS GrundRG'!H61)</f>
        <v>0</v>
      </c>
      <c r="P24" s="43">
        <f t="shared" si="2"/>
        <v>0</v>
      </c>
      <c r="Q24" s="43">
        <f t="shared" si="3"/>
        <v>0</v>
      </c>
      <c r="R24" s="43">
        <f t="shared" si="4"/>
        <v>0</v>
      </c>
      <c r="S24" s="3" t="str">
        <f t="shared" si="5"/>
        <v>Leistungswert eintragen</v>
      </c>
      <c r="U24" s="3">
        <f t="shared" si="6"/>
        <v>7</v>
      </c>
      <c r="V24" s="3">
        <f t="shared" si="7"/>
        <v>2.1</v>
      </c>
      <c r="W24" s="3">
        <f t="shared" si="8"/>
        <v>9.1</v>
      </c>
      <c r="X24" s="3" t="str">
        <f t="shared" si="9"/>
        <v/>
      </c>
    </row>
    <row r="25" spans="1:24" ht="15" customHeight="1" x14ac:dyDescent="0.2">
      <c r="A25" s="96">
        <v>4</v>
      </c>
      <c r="B25" s="107"/>
      <c r="C25" s="108" t="s">
        <v>216</v>
      </c>
      <c r="D25" s="108"/>
      <c r="E25" s="108" t="s">
        <v>217</v>
      </c>
      <c r="F25" s="108" t="s">
        <v>218</v>
      </c>
      <c r="G25" s="109">
        <v>26.76</v>
      </c>
      <c r="H25" s="109"/>
      <c r="I25" s="109"/>
      <c r="J25" s="96" t="s">
        <v>258</v>
      </c>
      <c r="K25" s="96" t="s">
        <v>143</v>
      </c>
      <c r="L25" s="43">
        <f>VLOOKUP(K25,Reinigungstage!A10:D31,4,FALSE)</f>
        <v>1</v>
      </c>
      <c r="M25" s="43">
        <f t="shared" si="0"/>
        <v>26.76</v>
      </c>
      <c r="N25" s="110">
        <f t="shared" si="1"/>
        <v>0</v>
      </c>
      <c r="O25" s="43">
        <f ca="1">IF('SVS GrundRG'!H61="",0,'SVS GrundRG'!H61)</f>
        <v>0</v>
      </c>
      <c r="P25" s="43">
        <f t="shared" si="2"/>
        <v>0</v>
      </c>
      <c r="Q25" s="43">
        <f t="shared" si="3"/>
        <v>0</v>
      </c>
      <c r="R25" s="43">
        <f t="shared" si="4"/>
        <v>0</v>
      </c>
      <c r="S25" s="3" t="str">
        <f t="shared" si="5"/>
        <v>Leistungswert eintragen</v>
      </c>
      <c r="U25" s="3">
        <f t="shared" si="6"/>
        <v>14</v>
      </c>
      <c r="V25" s="3">
        <f t="shared" si="7"/>
        <v>4.2</v>
      </c>
      <c r="W25" s="3">
        <f t="shared" si="8"/>
        <v>18.2</v>
      </c>
      <c r="X25" s="3" t="str">
        <f t="shared" si="9"/>
        <v/>
      </c>
    </row>
    <row r="26" spans="1:24" ht="15" customHeight="1" x14ac:dyDescent="0.2">
      <c r="A26" s="96">
        <v>5</v>
      </c>
      <c r="B26" s="107"/>
      <c r="C26" s="108" t="s">
        <v>216</v>
      </c>
      <c r="D26" s="108"/>
      <c r="E26" s="108" t="s">
        <v>217</v>
      </c>
      <c r="F26" s="108" t="s">
        <v>218</v>
      </c>
      <c r="G26" s="109">
        <v>45.95</v>
      </c>
      <c r="H26" s="109"/>
      <c r="I26" s="109"/>
      <c r="J26" s="96" t="s">
        <v>258</v>
      </c>
      <c r="K26" s="96" t="s">
        <v>143</v>
      </c>
      <c r="L26" s="43">
        <f>VLOOKUP(K26,Reinigungstage!A10:D31,4,FALSE)</f>
        <v>1</v>
      </c>
      <c r="M26" s="43">
        <f t="shared" si="0"/>
        <v>45.95</v>
      </c>
      <c r="N26" s="110">
        <f t="shared" si="1"/>
        <v>0</v>
      </c>
      <c r="O26" s="43">
        <f ca="1">IF('SVS GrundRG'!H61="",0,'SVS GrundRG'!H61)</f>
        <v>0</v>
      </c>
      <c r="P26" s="43">
        <f t="shared" si="2"/>
        <v>0</v>
      </c>
      <c r="Q26" s="43">
        <f t="shared" si="3"/>
        <v>0</v>
      </c>
      <c r="R26" s="43">
        <f t="shared" si="4"/>
        <v>0</v>
      </c>
      <c r="S26" s="3" t="str">
        <f t="shared" si="5"/>
        <v>Leistungswert eintragen</v>
      </c>
      <c r="U26" s="3">
        <f t="shared" si="6"/>
        <v>14</v>
      </c>
      <c r="V26" s="3">
        <f t="shared" si="7"/>
        <v>4.2</v>
      </c>
      <c r="W26" s="3">
        <f t="shared" si="8"/>
        <v>18.2</v>
      </c>
      <c r="X26" s="3" t="str">
        <f t="shared" si="9"/>
        <v/>
      </c>
    </row>
    <row r="27" spans="1:24" ht="15" customHeight="1" x14ac:dyDescent="0.2">
      <c r="A27" s="96">
        <v>6</v>
      </c>
      <c r="B27" s="107"/>
      <c r="C27" s="108" t="s">
        <v>216</v>
      </c>
      <c r="D27" s="108"/>
      <c r="E27" s="108" t="s">
        <v>222</v>
      </c>
      <c r="F27" s="108" t="s">
        <v>218</v>
      </c>
      <c r="G27" s="109">
        <v>68.900000000000006</v>
      </c>
      <c r="H27" s="109"/>
      <c r="I27" s="109"/>
      <c r="J27" s="96" t="s">
        <v>260</v>
      </c>
      <c r="K27" s="96" t="s">
        <v>143</v>
      </c>
      <c r="L27" s="43">
        <f>VLOOKUP(K27,Reinigungstage!A10:D31,4,FALSE)</f>
        <v>1</v>
      </c>
      <c r="M27" s="43">
        <f t="shared" si="0"/>
        <v>68.900000000000006</v>
      </c>
      <c r="N27" s="110">
        <f t="shared" si="1"/>
        <v>0</v>
      </c>
      <c r="O27" s="43">
        <f ca="1">IF('SVS GrundRG'!H61="",0,'SVS GrundRG'!H61)</f>
        <v>0</v>
      </c>
      <c r="P27" s="43">
        <f t="shared" si="2"/>
        <v>0</v>
      </c>
      <c r="Q27" s="43">
        <f t="shared" si="3"/>
        <v>0</v>
      </c>
      <c r="R27" s="43">
        <f t="shared" si="4"/>
        <v>0</v>
      </c>
      <c r="S27" s="3" t="str">
        <f t="shared" si="5"/>
        <v>Leistungswert eintragen</v>
      </c>
      <c r="U27" s="3">
        <f t="shared" si="6"/>
        <v>24</v>
      </c>
      <c r="V27" s="3">
        <f t="shared" si="7"/>
        <v>7.1999999999999993</v>
      </c>
      <c r="W27" s="3">
        <f t="shared" si="8"/>
        <v>31.2</v>
      </c>
      <c r="X27" s="3" t="str">
        <f t="shared" si="9"/>
        <v/>
      </c>
    </row>
    <row r="28" spans="1:24" ht="15" customHeight="1" x14ac:dyDescent="0.2">
      <c r="A28" s="96">
        <v>7</v>
      </c>
      <c r="B28" s="107"/>
      <c r="C28" s="108" t="s">
        <v>216</v>
      </c>
      <c r="D28" s="108"/>
      <c r="E28" s="108" t="s">
        <v>223</v>
      </c>
      <c r="F28" s="108" t="s">
        <v>220</v>
      </c>
      <c r="G28" s="109">
        <v>12.93</v>
      </c>
      <c r="H28" s="109"/>
      <c r="I28" s="109"/>
      <c r="J28" s="96" t="s">
        <v>223</v>
      </c>
      <c r="K28" s="96" t="s">
        <v>143</v>
      </c>
      <c r="L28" s="43">
        <f>VLOOKUP(K28,Reinigungstage!A10:D31,4,FALSE)</f>
        <v>1</v>
      </c>
      <c r="M28" s="43">
        <f t="shared" si="0"/>
        <v>12.93</v>
      </c>
      <c r="N28" s="110">
        <f t="shared" si="1"/>
        <v>0</v>
      </c>
      <c r="O28" s="43">
        <f ca="1">IF('SVS GrundRG'!H61="",0,'SVS GrundRG'!H61)</f>
        <v>0</v>
      </c>
      <c r="P28" s="43">
        <f t="shared" si="2"/>
        <v>0</v>
      </c>
      <c r="Q28" s="43">
        <f t="shared" si="3"/>
        <v>0</v>
      </c>
      <c r="R28" s="43">
        <f t="shared" si="4"/>
        <v>0</v>
      </c>
      <c r="S28" s="3" t="str">
        <f t="shared" si="5"/>
        <v>Leistungswert eintragen</v>
      </c>
      <c r="U28" s="3">
        <f t="shared" si="6"/>
        <v>14</v>
      </c>
      <c r="V28" s="3">
        <f t="shared" si="7"/>
        <v>4.2</v>
      </c>
      <c r="W28" s="3">
        <f t="shared" si="8"/>
        <v>18.2</v>
      </c>
      <c r="X28" s="3" t="str">
        <f t="shared" si="9"/>
        <v/>
      </c>
    </row>
    <row r="29" spans="1:24" ht="15" customHeight="1" x14ac:dyDescent="0.2">
      <c r="A29" s="96">
        <v>8</v>
      </c>
      <c r="B29" s="107"/>
      <c r="C29" s="108" t="s">
        <v>216</v>
      </c>
      <c r="D29" s="108"/>
      <c r="E29" s="108" t="s">
        <v>223</v>
      </c>
      <c r="F29" s="108" t="s">
        <v>218</v>
      </c>
      <c r="G29" s="109">
        <v>13.53</v>
      </c>
      <c r="H29" s="109"/>
      <c r="I29" s="109"/>
      <c r="J29" s="96" t="s">
        <v>223</v>
      </c>
      <c r="K29" s="96" t="s">
        <v>143</v>
      </c>
      <c r="L29" s="43">
        <f>VLOOKUP(K29,Reinigungstage!A10:D31,4,FALSE)</f>
        <v>1</v>
      </c>
      <c r="M29" s="43">
        <f t="shared" si="0"/>
        <v>13.53</v>
      </c>
      <c r="N29" s="110">
        <f t="shared" si="1"/>
        <v>0</v>
      </c>
      <c r="O29" s="43">
        <f ca="1">IF('SVS GrundRG'!H61="",0,'SVS GrundRG'!H61)</f>
        <v>0</v>
      </c>
      <c r="P29" s="43">
        <f t="shared" si="2"/>
        <v>0</v>
      </c>
      <c r="Q29" s="43">
        <f t="shared" si="3"/>
        <v>0</v>
      </c>
      <c r="R29" s="43">
        <f t="shared" si="4"/>
        <v>0</v>
      </c>
      <c r="S29" s="3" t="str">
        <f t="shared" si="5"/>
        <v>Leistungswert eintragen</v>
      </c>
      <c r="U29" s="3">
        <f t="shared" si="6"/>
        <v>14</v>
      </c>
      <c r="V29" s="3">
        <f t="shared" si="7"/>
        <v>4.2</v>
      </c>
      <c r="W29" s="3">
        <f t="shared" si="8"/>
        <v>18.2</v>
      </c>
      <c r="X29" s="3" t="str">
        <f t="shared" si="9"/>
        <v/>
      </c>
    </row>
    <row r="30" spans="1:24" ht="15" customHeight="1" x14ac:dyDescent="0.2">
      <c r="A30" s="96">
        <v>9</v>
      </c>
      <c r="B30" s="107"/>
      <c r="C30" s="108" t="s">
        <v>216</v>
      </c>
      <c r="D30" s="108"/>
      <c r="E30" s="108" t="s">
        <v>223</v>
      </c>
      <c r="F30" s="108" t="s">
        <v>218</v>
      </c>
      <c r="G30" s="109">
        <v>8.18</v>
      </c>
      <c r="H30" s="109"/>
      <c r="I30" s="109"/>
      <c r="J30" s="96" t="s">
        <v>223</v>
      </c>
      <c r="K30" s="96" t="s">
        <v>143</v>
      </c>
      <c r="L30" s="43">
        <f>VLOOKUP(K30,Reinigungstage!A10:D31,4,FALSE)</f>
        <v>1</v>
      </c>
      <c r="M30" s="43">
        <f t="shared" si="0"/>
        <v>8.18</v>
      </c>
      <c r="N30" s="110">
        <f t="shared" si="1"/>
        <v>0</v>
      </c>
      <c r="O30" s="43">
        <f ca="1">IF('SVS GrundRG'!H61="",0,'SVS GrundRG'!H61)</f>
        <v>0</v>
      </c>
      <c r="P30" s="43">
        <f t="shared" si="2"/>
        <v>0</v>
      </c>
      <c r="Q30" s="43">
        <f t="shared" si="3"/>
        <v>0</v>
      </c>
      <c r="R30" s="43">
        <f t="shared" si="4"/>
        <v>0</v>
      </c>
      <c r="S30" s="3" t="str">
        <f t="shared" si="5"/>
        <v>Leistungswert eintragen</v>
      </c>
      <c r="U30" s="3">
        <f t="shared" si="6"/>
        <v>14</v>
      </c>
      <c r="V30" s="3">
        <f t="shared" si="7"/>
        <v>4.2</v>
      </c>
      <c r="W30" s="3">
        <f t="shared" si="8"/>
        <v>18.2</v>
      </c>
      <c r="X30" s="3" t="str">
        <f t="shared" si="9"/>
        <v/>
      </c>
    </row>
    <row r="31" spans="1:24" ht="15" customHeight="1" x14ac:dyDescent="0.2">
      <c r="A31" s="96">
        <v>10</v>
      </c>
      <c r="B31" s="107">
        <v>27</v>
      </c>
      <c r="C31" s="108" t="s">
        <v>224</v>
      </c>
      <c r="D31" s="108"/>
      <c r="E31" s="108" t="s">
        <v>225</v>
      </c>
      <c r="F31" s="108" t="s">
        <v>218</v>
      </c>
      <c r="G31" s="109">
        <v>12.12</v>
      </c>
      <c r="H31" s="109"/>
      <c r="I31" s="109"/>
      <c r="J31" s="96" t="s">
        <v>261</v>
      </c>
      <c r="K31" s="96" t="s">
        <v>143</v>
      </c>
      <c r="L31" s="43">
        <f>VLOOKUP(K31,Reinigungstage!A10:D31,4,FALSE)</f>
        <v>1</v>
      </c>
      <c r="M31" s="43">
        <f t="shared" si="0"/>
        <v>12.12</v>
      </c>
      <c r="N31" s="110">
        <f t="shared" si="1"/>
        <v>0</v>
      </c>
      <c r="O31" s="43">
        <f ca="1">IF('SVS GrundRG'!H61="",0,'SVS GrundRG'!H61)</f>
        <v>0</v>
      </c>
      <c r="P31" s="43">
        <f t="shared" si="2"/>
        <v>0</v>
      </c>
      <c r="Q31" s="43">
        <f t="shared" si="3"/>
        <v>0</v>
      </c>
      <c r="R31" s="43">
        <f t="shared" si="4"/>
        <v>0</v>
      </c>
      <c r="S31" s="3" t="str">
        <f t="shared" si="5"/>
        <v>Leistungswert eintragen</v>
      </c>
      <c r="U31" s="3">
        <f t="shared" si="6"/>
        <v>15</v>
      </c>
      <c r="V31" s="3">
        <f t="shared" si="7"/>
        <v>4.5</v>
      </c>
      <c r="W31" s="3">
        <f t="shared" si="8"/>
        <v>19.5</v>
      </c>
      <c r="X31" s="3" t="str">
        <f t="shared" si="9"/>
        <v/>
      </c>
    </row>
    <row r="32" spans="1:24" ht="15" customHeight="1" x14ac:dyDescent="0.2">
      <c r="A32" s="96">
        <v>11</v>
      </c>
      <c r="B32" s="107"/>
      <c r="C32" s="108" t="s">
        <v>224</v>
      </c>
      <c r="D32" s="108">
        <v>3</v>
      </c>
      <c r="E32" s="108" t="s">
        <v>217</v>
      </c>
      <c r="F32" s="108" t="s">
        <v>218</v>
      </c>
      <c r="G32" s="109">
        <v>62.3</v>
      </c>
      <c r="H32" s="109"/>
      <c r="I32" s="109"/>
      <c r="J32" s="96" t="s">
        <v>258</v>
      </c>
      <c r="K32" s="96" t="s">
        <v>143</v>
      </c>
      <c r="L32" s="43">
        <f>VLOOKUP(K32,Reinigungstage!A10:D31,4,FALSE)</f>
        <v>1</v>
      </c>
      <c r="M32" s="43">
        <f t="shared" si="0"/>
        <v>62.3</v>
      </c>
      <c r="N32" s="110">
        <f t="shared" si="1"/>
        <v>0</v>
      </c>
      <c r="O32" s="43">
        <f ca="1">IF('SVS GrundRG'!H61="",0,'SVS GrundRG'!H61)</f>
        <v>0</v>
      </c>
      <c r="P32" s="43">
        <f t="shared" si="2"/>
        <v>0</v>
      </c>
      <c r="Q32" s="43">
        <f t="shared" si="3"/>
        <v>0</v>
      </c>
      <c r="R32" s="43">
        <f t="shared" si="4"/>
        <v>0</v>
      </c>
      <c r="S32" s="3" t="str">
        <f t="shared" si="5"/>
        <v>Leistungswert eintragen</v>
      </c>
      <c r="U32" s="3">
        <f t="shared" si="6"/>
        <v>14</v>
      </c>
      <c r="V32" s="3">
        <f t="shared" si="7"/>
        <v>4.2</v>
      </c>
      <c r="W32" s="3">
        <f t="shared" si="8"/>
        <v>18.2</v>
      </c>
      <c r="X32" s="3" t="str">
        <f t="shared" si="9"/>
        <v/>
      </c>
    </row>
    <row r="33" spans="1:24" ht="15" customHeight="1" x14ac:dyDescent="0.2">
      <c r="A33" s="96">
        <v>12</v>
      </c>
      <c r="B33" s="107">
        <v>25</v>
      </c>
      <c r="C33" s="108" t="s">
        <v>224</v>
      </c>
      <c r="D33" s="108"/>
      <c r="E33" s="108" t="s">
        <v>217</v>
      </c>
      <c r="F33" s="108" t="s">
        <v>218</v>
      </c>
      <c r="G33" s="109">
        <v>25.93</v>
      </c>
      <c r="H33" s="109"/>
      <c r="I33" s="109"/>
      <c r="J33" s="96" t="s">
        <v>258</v>
      </c>
      <c r="K33" s="96" t="s">
        <v>143</v>
      </c>
      <c r="L33" s="43">
        <f>VLOOKUP(K33,Reinigungstage!A10:D31,4,FALSE)</f>
        <v>1</v>
      </c>
      <c r="M33" s="43">
        <f t="shared" si="0"/>
        <v>25.93</v>
      </c>
      <c r="N33" s="110">
        <f t="shared" si="1"/>
        <v>0</v>
      </c>
      <c r="O33" s="43">
        <f ca="1">IF('SVS GrundRG'!H61="",0,'SVS GrundRG'!H61)</f>
        <v>0</v>
      </c>
      <c r="P33" s="43">
        <f t="shared" si="2"/>
        <v>0</v>
      </c>
      <c r="Q33" s="43">
        <f t="shared" si="3"/>
        <v>0</v>
      </c>
      <c r="R33" s="43">
        <f t="shared" si="4"/>
        <v>0</v>
      </c>
      <c r="S33" s="3" t="str">
        <f t="shared" si="5"/>
        <v>Leistungswert eintragen</v>
      </c>
      <c r="U33" s="3">
        <f t="shared" si="6"/>
        <v>14</v>
      </c>
      <c r="V33" s="3">
        <f t="shared" si="7"/>
        <v>4.2</v>
      </c>
      <c r="W33" s="3">
        <f t="shared" si="8"/>
        <v>18.2</v>
      </c>
      <c r="X33" s="3" t="str">
        <f t="shared" si="9"/>
        <v/>
      </c>
    </row>
    <row r="34" spans="1:24" ht="15" customHeight="1" x14ac:dyDescent="0.2">
      <c r="A34" s="96">
        <v>13</v>
      </c>
      <c r="B34" s="107"/>
      <c r="C34" s="108" t="s">
        <v>224</v>
      </c>
      <c r="D34" s="108"/>
      <c r="E34" s="108" t="s">
        <v>222</v>
      </c>
      <c r="F34" s="108" t="s">
        <v>220</v>
      </c>
      <c r="G34" s="109">
        <v>93.68</v>
      </c>
      <c r="H34" s="109"/>
      <c r="I34" s="109"/>
      <c r="J34" s="96" t="s">
        <v>260</v>
      </c>
      <c r="K34" s="96" t="s">
        <v>143</v>
      </c>
      <c r="L34" s="43">
        <f>VLOOKUP(K34,Reinigungstage!A10:D31,4,FALSE)</f>
        <v>1</v>
      </c>
      <c r="M34" s="43">
        <f t="shared" si="0"/>
        <v>93.68</v>
      </c>
      <c r="N34" s="110">
        <f t="shared" si="1"/>
        <v>0</v>
      </c>
      <c r="O34" s="43">
        <f ca="1">IF('SVS GrundRG'!H61="",0,'SVS GrundRG'!H61)</f>
        <v>0</v>
      </c>
      <c r="P34" s="43">
        <f t="shared" si="2"/>
        <v>0</v>
      </c>
      <c r="Q34" s="43">
        <f t="shared" si="3"/>
        <v>0</v>
      </c>
      <c r="R34" s="43">
        <f t="shared" si="4"/>
        <v>0</v>
      </c>
      <c r="S34" s="3" t="str">
        <f t="shared" si="5"/>
        <v>Leistungswert eintragen</v>
      </c>
      <c r="U34" s="3">
        <f t="shared" si="6"/>
        <v>24</v>
      </c>
      <c r="V34" s="3">
        <f t="shared" si="7"/>
        <v>7.1999999999999993</v>
      </c>
      <c r="W34" s="3">
        <f t="shared" si="8"/>
        <v>31.2</v>
      </c>
      <c r="X34" s="3" t="str">
        <f t="shared" si="9"/>
        <v/>
      </c>
    </row>
    <row r="35" spans="1:24" ht="15" customHeight="1" x14ac:dyDescent="0.2">
      <c r="A35" s="96">
        <v>14</v>
      </c>
      <c r="B35" s="107">
        <v>24</v>
      </c>
      <c r="C35" s="108" t="s">
        <v>224</v>
      </c>
      <c r="D35" s="108"/>
      <c r="E35" s="108" t="s">
        <v>217</v>
      </c>
      <c r="F35" s="108" t="s">
        <v>218</v>
      </c>
      <c r="G35" s="109">
        <v>41.18</v>
      </c>
      <c r="H35" s="109"/>
      <c r="I35" s="109"/>
      <c r="J35" s="96" t="s">
        <v>258</v>
      </c>
      <c r="K35" s="96" t="s">
        <v>143</v>
      </c>
      <c r="L35" s="43">
        <f>VLOOKUP(K35,Reinigungstage!A10:D31,4,FALSE)</f>
        <v>1</v>
      </c>
      <c r="M35" s="43">
        <f t="shared" si="0"/>
        <v>41.18</v>
      </c>
      <c r="N35" s="110">
        <f t="shared" si="1"/>
        <v>0</v>
      </c>
      <c r="O35" s="43">
        <f ca="1">IF('SVS GrundRG'!H61="",0,'SVS GrundRG'!H61)</f>
        <v>0</v>
      </c>
      <c r="P35" s="43">
        <f t="shared" si="2"/>
        <v>0</v>
      </c>
      <c r="Q35" s="43">
        <f t="shared" si="3"/>
        <v>0</v>
      </c>
      <c r="R35" s="43">
        <f t="shared" si="4"/>
        <v>0</v>
      </c>
      <c r="S35" s="3" t="str">
        <f t="shared" si="5"/>
        <v>Leistungswert eintragen</v>
      </c>
      <c r="U35" s="3">
        <f t="shared" si="6"/>
        <v>14</v>
      </c>
      <c r="V35" s="3">
        <f t="shared" si="7"/>
        <v>4.2</v>
      </c>
      <c r="W35" s="3">
        <f t="shared" si="8"/>
        <v>18.2</v>
      </c>
      <c r="X35" s="3" t="str">
        <f t="shared" si="9"/>
        <v/>
      </c>
    </row>
    <row r="36" spans="1:24" ht="15" customHeight="1" x14ac:dyDescent="0.2">
      <c r="A36" s="96">
        <v>15</v>
      </c>
      <c r="B36" s="107"/>
      <c r="C36" s="108" t="s">
        <v>224</v>
      </c>
      <c r="D36" s="108"/>
      <c r="E36" s="108" t="s">
        <v>226</v>
      </c>
      <c r="F36" s="108" t="s">
        <v>220</v>
      </c>
      <c r="G36" s="109">
        <v>11.32</v>
      </c>
      <c r="H36" s="109"/>
      <c r="I36" s="109"/>
      <c r="J36" s="96" t="s">
        <v>259</v>
      </c>
      <c r="K36" s="96" t="s">
        <v>143</v>
      </c>
      <c r="L36" s="43">
        <f>VLOOKUP(K36,Reinigungstage!A10:D31,4,FALSE)</f>
        <v>1</v>
      </c>
      <c r="M36" s="43">
        <f t="shared" si="0"/>
        <v>11.32</v>
      </c>
      <c r="N36" s="110">
        <f t="shared" si="1"/>
        <v>0</v>
      </c>
      <c r="O36" s="43">
        <f ca="1">IF('SVS GrundRG'!H61="",0,'SVS GrundRG'!H61)</f>
        <v>0</v>
      </c>
      <c r="P36" s="43">
        <f t="shared" si="2"/>
        <v>0</v>
      </c>
      <c r="Q36" s="43">
        <f t="shared" si="3"/>
        <v>0</v>
      </c>
      <c r="R36" s="43">
        <f t="shared" si="4"/>
        <v>0</v>
      </c>
      <c r="S36" s="3" t="str">
        <f t="shared" si="5"/>
        <v>Leistungswert eintragen</v>
      </c>
      <c r="U36" s="3">
        <f t="shared" si="6"/>
        <v>7</v>
      </c>
      <c r="V36" s="3">
        <f t="shared" si="7"/>
        <v>2.1</v>
      </c>
      <c r="W36" s="3">
        <f t="shared" si="8"/>
        <v>9.1</v>
      </c>
      <c r="X36" s="3" t="str">
        <f t="shared" si="9"/>
        <v/>
      </c>
    </row>
    <row r="37" spans="1:24" ht="15" customHeight="1" x14ac:dyDescent="0.2">
      <c r="A37" s="96">
        <v>16</v>
      </c>
      <c r="B37" s="107"/>
      <c r="C37" s="108" t="s">
        <v>224</v>
      </c>
      <c r="D37" s="108"/>
      <c r="E37" s="108" t="s">
        <v>227</v>
      </c>
      <c r="F37" s="108" t="s">
        <v>220</v>
      </c>
      <c r="G37" s="109">
        <v>11.87</v>
      </c>
      <c r="H37" s="109"/>
      <c r="I37" s="109"/>
      <c r="J37" s="96" t="s">
        <v>259</v>
      </c>
      <c r="K37" s="96" t="s">
        <v>143</v>
      </c>
      <c r="L37" s="43">
        <f>VLOOKUP(K37,Reinigungstage!A10:D31,4,FALSE)</f>
        <v>1</v>
      </c>
      <c r="M37" s="43">
        <f t="shared" si="0"/>
        <v>11.87</v>
      </c>
      <c r="N37" s="110">
        <f t="shared" si="1"/>
        <v>0</v>
      </c>
      <c r="O37" s="43">
        <f ca="1">IF('SVS GrundRG'!H61="",0,'SVS GrundRG'!H61)</f>
        <v>0</v>
      </c>
      <c r="P37" s="43">
        <f t="shared" si="2"/>
        <v>0</v>
      </c>
      <c r="Q37" s="43">
        <f t="shared" si="3"/>
        <v>0</v>
      </c>
      <c r="R37" s="43">
        <f t="shared" si="4"/>
        <v>0</v>
      </c>
      <c r="S37" s="3" t="str">
        <f t="shared" si="5"/>
        <v>Leistungswert eintragen</v>
      </c>
      <c r="U37" s="3">
        <f t="shared" si="6"/>
        <v>7</v>
      </c>
      <c r="V37" s="3">
        <f t="shared" si="7"/>
        <v>2.1</v>
      </c>
      <c r="W37" s="3">
        <f t="shared" si="8"/>
        <v>9.1</v>
      </c>
      <c r="X37" s="3" t="str">
        <f t="shared" si="9"/>
        <v/>
      </c>
    </row>
    <row r="38" spans="1:24" ht="15" customHeight="1" x14ac:dyDescent="0.2">
      <c r="A38" s="96">
        <v>17</v>
      </c>
      <c r="B38" s="107">
        <v>22</v>
      </c>
      <c r="C38" s="108" t="s">
        <v>224</v>
      </c>
      <c r="D38" s="108"/>
      <c r="E38" s="108" t="s">
        <v>217</v>
      </c>
      <c r="F38" s="108" t="s">
        <v>218</v>
      </c>
      <c r="G38" s="109">
        <v>38.770000000000003</v>
      </c>
      <c r="H38" s="109"/>
      <c r="I38" s="109"/>
      <c r="J38" s="96" t="s">
        <v>258</v>
      </c>
      <c r="K38" s="96" t="s">
        <v>143</v>
      </c>
      <c r="L38" s="43">
        <f>VLOOKUP(K38,Reinigungstage!A10:D31,4,FALSE)</f>
        <v>1</v>
      </c>
      <c r="M38" s="43">
        <f t="shared" si="0"/>
        <v>38.770000000000003</v>
      </c>
      <c r="N38" s="110">
        <f t="shared" si="1"/>
        <v>0</v>
      </c>
      <c r="O38" s="43">
        <f ca="1">IF('SVS GrundRG'!H61="",0,'SVS GrundRG'!H61)</f>
        <v>0</v>
      </c>
      <c r="P38" s="43">
        <f t="shared" si="2"/>
        <v>0</v>
      </c>
      <c r="Q38" s="43">
        <f t="shared" si="3"/>
        <v>0</v>
      </c>
      <c r="R38" s="43">
        <f t="shared" si="4"/>
        <v>0</v>
      </c>
      <c r="S38" s="3" t="str">
        <f t="shared" si="5"/>
        <v>Leistungswert eintragen</v>
      </c>
      <c r="U38" s="3">
        <f t="shared" si="6"/>
        <v>14</v>
      </c>
      <c r="V38" s="3">
        <f t="shared" si="7"/>
        <v>4.2</v>
      </c>
      <c r="W38" s="3">
        <f t="shared" si="8"/>
        <v>18.2</v>
      </c>
      <c r="X38" s="3" t="str">
        <f t="shared" si="9"/>
        <v/>
      </c>
    </row>
    <row r="39" spans="1:24" ht="15" customHeight="1" x14ac:dyDescent="0.2">
      <c r="A39" s="96">
        <v>18</v>
      </c>
      <c r="B39" s="107">
        <v>21</v>
      </c>
      <c r="C39" s="108" t="s">
        <v>224</v>
      </c>
      <c r="D39" s="108"/>
      <c r="E39" s="108" t="s">
        <v>228</v>
      </c>
      <c r="F39" s="108" t="s">
        <v>229</v>
      </c>
      <c r="G39" s="109">
        <v>68.09</v>
      </c>
      <c r="H39" s="109"/>
      <c r="I39" s="109"/>
      <c r="J39" s="96" t="s">
        <v>261</v>
      </c>
      <c r="K39" s="96" t="s">
        <v>143</v>
      </c>
      <c r="L39" s="43">
        <f>VLOOKUP(K39,Reinigungstage!A10:D31,4,FALSE)</f>
        <v>1</v>
      </c>
      <c r="M39" s="43">
        <f t="shared" si="0"/>
        <v>68.09</v>
      </c>
      <c r="N39" s="110">
        <f t="shared" si="1"/>
        <v>0</v>
      </c>
      <c r="O39" s="43">
        <f ca="1">IF('SVS GrundRG'!H61="",0,'SVS GrundRG'!H61)</f>
        <v>0</v>
      </c>
      <c r="P39" s="43">
        <f t="shared" si="2"/>
        <v>0</v>
      </c>
      <c r="Q39" s="43">
        <f t="shared" si="3"/>
        <v>0</v>
      </c>
      <c r="R39" s="43">
        <f t="shared" si="4"/>
        <v>0</v>
      </c>
      <c r="S39" s="3" t="str">
        <f t="shared" si="5"/>
        <v>Leistungswert eintragen</v>
      </c>
      <c r="U39" s="3">
        <f t="shared" si="6"/>
        <v>15</v>
      </c>
      <c r="V39" s="3">
        <f t="shared" si="7"/>
        <v>4.5</v>
      </c>
      <c r="W39" s="3">
        <f t="shared" si="8"/>
        <v>19.5</v>
      </c>
      <c r="X39" s="3" t="str">
        <f t="shared" si="9"/>
        <v/>
      </c>
    </row>
    <row r="40" spans="1:24" ht="15" customHeight="1" x14ac:dyDescent="0.2">
      <c r="A40" s="96">
        <v>19</v>
      </c>
      <c r="B40" s="107">
        <v>21</v>
      </c>
      <c r="C40" s="108" t="s">
        <v>224</v>
      </c>
      <c r="D40" s="108"/>
      <c r="E40" s="108" t="s">
        <v>230</v>
      </c>
      <c r="F40" s="108" t="s">
        <v>231</v>
      </c>
      <c r="G40" s="109">
        <v>13.51</v>
      </c>
      <c r="H40" s="109"/>
      <c r="I40" s="109"/>
      <c r="J40" s="96" t="s">
        <v>261</v>
      </c>
      <c r="K40" s="96" t="s">
        <v>143</v>
      </c>
      <c r="L40" s="43">
        <f>VLOOKUP(K40,Reinigungstage!A10:D31,4,FALSE)</f>
        <v>1</v>
      </c>
      <c r="M40" s="43">
        <f t="shared" si="0"/>
        <v>13.51</v>
      </c>
      <c r="N40" s="110">
        <f t="shared" si="1"/>
        <v>0</v>
      </c>
      <c r="O40" s="43">
        <f ca="1">IF('SVS GrundRG'!H61="",0,'SVS GrundRG'!H61)</f>
        <v>0</v>
      </c>
      <c r="P40" s="43">
        <f t="shared" si="2"/>
        <v>0</v>
      </c>
      <c r="Q40" s="43">
        <f t="shared" si="3"/>
        <v>0</v>
      </c>
      <c r="R40" s="43">
        <f t="shared" si="4"/>
        <v>0</v>
      </c>
      <c r="S40" s="3" t="str">
        <f t="shared" si="5"/>
        <v>Leistungswert eintragen</v>
      </c>
      <c r="U40" s="3">
        <f t="shared" si="6"/>
        <v>15</v>
      </c>
      <c r="V40" s="3">
        <f t="shared" si="7"/>
        <v>4.5</v>
      </c>
      <c r="W40" s="3">
        <f t="shared" si="8"/>
        <v>19.5</v>
      </c>
      <c r="X40" s="3" t="str">
        <f t="shared" si="9"/>
        <v/>
      </c>
    </row>
    <row r="41" spans="1:24" ht="15" customHeight="1" x14ac:dyDescent="0.2">
      <c r="A41" s="96">
        <v>20</v>
      </c>
      <c r="B41" s="107">
        <v>20</v>
      </c>
      <c r="C41" s="108" t="s">
        <v>224</v>
      </c>
      <c r="D41" s="108"/>
      <c r="E41" s="108" t="s">
        <v>217</v>
      </c>
      <c r="F41" s="108" t="s">
        <v>218</v>
      </c>
      <c r="G41" s="109">
        <v>65.599999999999994</v>
      </c>
      <c r="H41" s="109"/>
      <c r="I41" s="109"/>
      <c r="J41" s="96" t="s">
        <v>258</v>
      </c>
      <c r="K41" s="96" t="s">
        <v>143</v>
      </c>
      <c r="L41" s="43">
        <f>VLOOKUP(K41,Reinigungstage!A10:D31,4,FALSE)</f>
        <v>1</v>
      </c>
      <c r="M41" s="43">
        <f t="shared" si="0"/>
        <v>65.599999999999994</v>
      </c>
      <c r="N41" s="110">
        <f t="shared" si="1"/>
        <v>0</v>
      </c>
      <c r="O41" s="43">
        <f ca="1">IF('SVS GrundRG'!H61="",0,'SVS GrundRG'!H61)</f>
        <v>0</v>
      </c>
      <c r="P41" s="43">
        <f t="shared" si="2"/>
        <v>0</v>
      </c>
      <c r="Q41" s="43">
        <f t="shared" si="3"/>
        <v>0</v>
      </c>
      <c r="R41" s="43">
        <f t="shared" si="4"/>
        <v>0</v>
      </c>
      <c r="S41" s="3" t="str">
        <f t="shared" si="5"/>
        <v>Leistungswert eintragen</v>
      </c>
      <c r="U41" s="3">
        <f t="shared" si="6"/>
        <v>14</v>
      </c>
      <c r="V41" s="3">
        <f t="shared" si="7"/>
        <v>4.2</v>
      </c>
      <c r="W41" s="3">
        <f t="shared" si="8"/>
        <v>18.2</v>
      </c>
      <c r="X41" s="3" t="str">
        <f t="shared" si="9"/>
        <v/>
      </c>
    </row>
    <row r="42" spans="1:24" ht="15" customHeight="1" x14ac:dyDescent="0.2">
      <c r="A42" s="96">
        <v>21</v>
      </c>
      <c r="B42" s="107"/>
      <c r="C42" s="108" t="s">
        <v>224</v>
      </c>
      <c r="D42" s="108"/>
      <c r="E42" s="108" t="s">
        <v>223</v>
      </c>
      <c r="F42" s="108" t="s">
        <v>220</v>
      </c>
      <c r="G42" s="109">
        <v>16.04</v>
      </c>
      <c r="H42" s="109"/>
      <c r="I42" s="109"/>
      <c r="J42" s="96" t="s">
        <v>223</v>
      </c>
      <c r="K42" s="96" t="s">
        <v>143</v>
      </c>
      <c r="L42" s="43">
        <f>VLOOKUP(K42,Reinigungstage!A10:D31,4,FALSE)</f>
        <v>1</v>
      </c>
      <c r="M42" s="43">
        <f t="shared" si="0"/>
        <v>16.04</v>
      </c>
      <c r="N42" s="110">
        <f t="shared" si="1"/>
        <v>0</v>
      </c>
      <c r="O42" s="43">
        <f ca="1">IF('SVS GrundRG'!H61="",0,'SVS GrundRG'!H61)</f>
        <v>0</v>
      </c>
      <c r="P42" s="43">
        <f t="shared" si="2"/>
        <v>0</v>
      </c>
      <c r="Q42" s="43">
        <f t="shared" si="3"/>
        <v>0</v>
      </c>
      <c r="R42" s="43">
        <f t="shared" si="4"/>
        <v>0</v>
      </c>
      <c r="S42" s="3" t="str">
        <f t="shared" si="5"/>
        <v>Leistungswert eintragen</v>
      </c>
      <c r="U42" s="3">
        <f t="shared" si="6"/>
        <v>14</v>
      </c>
      <c r="V42" s="3">
        <f t="shared" si="7"/>
        <v>4.2</v>
      </c>
      <c r="W42" s="3">
        <f t="shared" si="8"/>
        <v>18.2</v>
      </c>
      <c r="X42" s="3" t="str">
        <f t="shared" si="9"/>
        <v/>
      </c>
    </row>
    <row r="43" spans="1:24" ht="15" customHeight="1" x14ac:dyDescent="0.2">
      <c r="A43" s="96">
        <v>22</v>
      </c>
      <c r="B43" s="107"/>
      <c r="C43" s="108" t="s">
        <v>224</v>
      </c>
      <c r="D43" s="108"/>
      <c r="E43" s="108" t="s">
        <v>223</v>
      </c>
      <c r="F43" s="108" t="s">
        <v>218</v>
      </c>
      <c r="G43" s="109">
        <v>12.88</v>
      </c>
      <c r="H43" s="109"/>
      <c r="I43" s="109"/>
      <c r="J43" s="96" t="s">
        <v>223</v>
      </c>
      <c r="K43" s="96" t="s">
        <v>143</v>
      </c>
      <c r="L43" s="43">
        <f>VLOOKUP(K43,Reinigungstage!A10:D31,4,FALSE)</f>
        <v>1</v>
      </c>
      <c r="M43" s="43">
        <f t="shared" si="0"/>
        <v>12.88</v>
      </c>
      <c r="N43" s="110">
        <f t="shared" si="1"/>
        <v>0</v>
      </c>
      <c r="O43" s="43">
        <f ca="1">IF('SVS GrundRG'!H61="",0,'SVS GrundRG'!H61)</f>
        <v>0</v>
      </c>
      <c r="P43" s="43">
        <f t="shared" si="2"/>
        <v>0</v>
      </c>
      <c r="Q43" s="43">
        <f t="shared" si="3"/>
        <v>0</v>
      </c>
      <c r="R43" s="43">
        <f t="shared" si="4"/>
        <v>0</v>
      </c>
      <c r="S43" s="3" t="str">
        <f t="shared" si="5"/>
        <v>Leistungswert eintragen</v>
      </c>
      <c r="U43" s="3">
        <f t="shared" si="6"/>
        <v>14</v>
      </c>
      <c r="V43" s="3">
        <f t="shared" si="7"/>
        <v>4.2</v>
      </c>
      <c r="W43" s="3">
        <f t="shared" si="8"/>
        <v>18.2</v>
      </c>
      <c r="X43" s="3" t="str">
        <f t="shared" si="9"/>
        <v/>
      </c>
    </row>
    <row r="44" spans="1:24" ht="15" customHeight="1" x14ac:dyDescent="0.2">
      <c r="A44" s="96">
        <v>23</v>
      </c>
      <c r="B44" s="107"/>
      <c r="C44" s="108" t="s">
        <v>224</v>
      </c>
      <c r="D44" s="108"/>
      <c r="E44" s="108" t="s">
        <v>232</v>
      </c>
      <c r="F44" s="108" t="s">
        <v>220</v>
      </c>
      <c r="G44" s="109">
        <v>3.32</v>
      </c>
      <c r="H44" s="109"/>
      <c r="I44" s="109"/>
      <c r="J44" s="96" t="s">
        <v>223</v>
      </c>
      <c r="K44" s="96" t="s">
        <v>143</v>
      </c>
      <c r="L44" s="43">
        <f>VLOOKUP(K44,Reinigungstage!A10:D31,4,FALSE)</f>
        <v>1</v>
      </c>
      <c r="M44" s="43">
        <f t="shared" si="0"/>
        <v>3.32</v>
      </c>
      <c r="N44" s="110">
        <f t="shared" si="1"/>
        <v>0</v>
      </c>
      <c r="O44" s="43">
        <f ca="1">IF('SVS GrundRG'!H61="",0,'SVS GrundRG'!H61)</f>
        <v>0</v>
      </c>
      <c r="P44" s="43">
        <f t="shared" si="2"/>
        <v>0</v>
      </c>
      <c r="Q44" s="43">
        <f t="shared" si="3"/>
        <v>0</v>
      </c>
      <c r="R44" s="43">
        <f t="shared" si="4"/>
        <v>0</v>
      </c>
      <c r="S44" s="3" t="str">
        <f t="shared" si="5"/>
        <v>Leistungswert eintragen</v>
      </c>
      <c r="U44" s="3">
        <f t="shared" si="6"/>
        <v>14</v>
      </c>
      <c r="V44" s="3">
        <f t="shared" si="7"/>
        <v>4.2</v>
      </c>
      <c r="W44" s="3">
        <f t="shared" si="8"/>
        <v>18.2</v>
      </c>
      <c r="X44" s="3" t="str">
        <f t="shared" si="9"/>
        <v/>
      </c>
    </row>
    <row r="45" spans="1:24" ht="15" customHeight="1" x14ac:dyDescent="0.2">
      <c r="A45" s="96">
        <v>24</v>
      </c>
      <c r="B45" s="107"/>
      <c r="C45" s="108" t="s">
        <v>224</v>
      </c>
      <c r="D45" s="108"/>
      <c r="E45" s="108" t="s">
        <v>223</v>
      </c>
      <c r="F45" s="108" t="s">
        <v>218</v>
      </c>
      <c r="G45" s="109">
        <v>10.64</v>
      </c>
      <c r="H45" s="109"/>
      <c r="I45" s="109"/>
      <c r="J45" s="96" t="s">
        <v>223</v>
      </c>
      <c r="K45" s="96" t="s">
        <v>143</v>
      </c>
      <c r="L45" s="43">
        <f>VLOOKUP(K45,Reinigungstage!A10:D31,4,FALSE)</f>
        <v>1</v>
      </c>
      <c r="M45" s="43">
        <f t="shared" si="0"/>
        <v>10.64</v>
      </c>
      <c r="N45" s="110">
        <f t="shared" si="1"/>
        <v>0</v>
      </c>
      <c r="O45" s="43">
        <f ca="1">IF('SVS GrundRG'!H61="",0,'SVS GrundRG'!H61)</f>
        <v>0</v>
      </c>
      <c r="P45" s="43">
        <f t="shared" si="2"/>
        <v>0</v>
      </c>
      <c r="Q45" s="43">
        <f t="shared" si="3"/>
        <v>0</v>
      </c>
      <c r="R45" s="43">
        <f t="shared" si="4"/>
        <v>0</v>
      </c>
      <c r="S45" s="3" t="str">
        <f t="shared" si="5"/>
        <v>Leistungswert eintragen</v>
      </c>
      <c r="U45" s="3">
        <f t="shared" si="6"/>
        <v>14</v>
      </c>
      <c r="V45" s="3">
        <f t="shared" si="7"/>
        <v>4.2</v>
      </c>
      <c r="W45" s="3">
        <f t="shared" si="8"/>
        <v>18.2</v>
      </c>
      <c r="X45" s="3" t="str">
        <f t="shared" si="9"/>
        <v/>
      </c>
    </row>
    <row r="46" spans="1:24" ht="15" customHeight="1" x14ac:dyDescent="0.2">
      <c r="A46" s="96">
        <v>25</v>
      </c>
      <c r="B46" s="107"/>
      <c r="C46" s="108" t="s">
        <v>233</v>
      </c>
      <c r="D46" s="108"/>
      <c r="E46" s="108" t="s">
        <v>217</v>
      </c>
      <c r="F46" s="108" t="s">
        <v>218</v>
      </c>
      <c r="G46" s="109">
        <v>62.15</v>
      </c>
      <c r="H46" s="109"/>
      <c r="I46" s="109"/>
      <c r="J46" s="96" t="s">
        <v>258</v>
      </c>
      <c r="K46" s="96" t="s">
        <v>143</v>
      </c>
      <c r="L46" s="43">
        <f>VLOOKUP(K46,Reinigungstage!A10:D31,4,FALSE)</f>
        <v>1</v>
      </c>
      <c r="M46" s="43">
        <f t="shared" si="0"/>
        <v>62.15</v>
      </c>
      <c r="N46" s="110">
        <f t="shared" si="1"/>
        <v>0</v>
      </c>
      <c r="O46" s="43">
        <f ca="1">IF('SVS GrundRG'!H61="",0,'SVS GrundRG'!H61)</f>
        <v>0</v>
      </c>
      <c r="P46" s="43">
        <f t="shared" si="2"/>
        <v>0</v>
      </c>
      <c r="Q46" s="43">
        <f t="shared" si="3"/>
        <v>0</v>
      </c>
      <c r="R46" s="43">
        <f t="shared" si="4"/>
        <v>0</v>
      </c>
      <c r="S46" s="3" t="str">
        <f t="shared" si="5"/>
        <v>Leistungswert eintragen</v>
      </c>
      <c r="U46" s="3">
        <f t="shared" si="6"/>
        <v>14</v>
      </c>
      <c r="V46" s="3">
        <f t="shared" si="7"/>
        <v>4.2</v>
      </c>
      <c r="W46" s="3">
        <f t="shared" si="8"/>
        <v>18.2</v>
      </c>
      <c r="X46" s="3" t="str">
        <f t="shared" si="9"/>
        <v/>
      </c>
    </row>
    <row r="47" spans="1:24" ht="15" customHeight="1" x14ac:dyDescent="0.2">
      <c r="A47" s="96">
        <v>26</v>
      </c>
      <c r="B47" s="107"/>
      <c r="C47" s="108" t="s">
        <v>233</v>
      </c>
      <c r="D47" s="108"/>
      <c r="E47" s="108" t="s">
        <v>234</v>
      </c>
      <c r="F47" s="108" t="s">
        <v>218</v>
      </c>
      <c r="G47" s="109">
        <v>25.91</v>
      </c>
      <c r="H47" s="109"/>
      <c r="I47" s="109"/>
      <c r="J47" s="96" t="s">
        <v>261</v>
      </c>
      <c r="K47" s="96" t="s">
        <v>143</v>
      </c>
      <c r="L47" s="43">
        <f>VLOOKUP(K47,Reinigungstage!A10:D31,4,FALSE)</f>
        <v>1</v>
      </c>
      <c r="M47" s="43">
        <f t="shared" si="0"/>
        <v>25.91</v>
      </c>
      <c r="N47" s="110">
        <f t="shared" si="1"/>
        <v>0</v>
      </c>
      <c r="O47" s="43">
        <f ca="1">IF('SVS GrundRG'!H61="",0,'SVS GrundRG'!H61)</f>
        <v>0</v>
      </c>
      <c r="P47" s="43">
        <f t="shared" si="2"/>
        <v>0</v>
      </c>
      <c r="Q47" s="43">
        <f t="shared" si="3"/>
        <v>0</v>
      </c>
      <c r="R47" s="43">
        <f t="shared" si="4"/>
        <v>0</v>
      </c>
      <c r="S47" s="3" t="str">
        <f t="shared" si="5"/>
        <v>Leistungswert eintragen</v>
      </c>
      <c r="U47" s="3">
        <f t="shared" si="6"/>
        <v>15</v>
      </c>
      <c r="V47" s="3">
        <f t="shared" si="7"/>
        <v>4.5</v>
      </c>
      <c r="W47" s="3">
        <f t="shared" si="8"/>
        <v>19.5</v>
      </c>
      <c r="X47" s="3" t="str">
        <f t="shared" si="9"/>
        <v/>
      </c>
    </row>
    <row r="48" spans="1:24" ht="15" customHeight="1" x14ac:dyDescent="0.2">
      <c r="A48" s="96">
        <v>27</v>
      </c>
      <c r="B48" s="107"/>
      <c r="C48" s="108" t="s">
        <v>233</v>
      </c>
      <c r="D48" s="108"/>
      <c r="E48" s="108" t="s">
        <v>235</v>
      </c>
      <c r="F48" s="108" t="s">
        <v>218</v>
      </c>
      <c r="G48" s="109">
        <v>47.13</v>
      </c>
      <c r="H48" s="109"/>
      <c r="I48" s="109"/>
      <c r="J48" s="96" t="s">
        <v>237</v>
      </c>
      <c r="K48" s="96" t="s">
        <v>143</v>
      </c>
      <c r="L48" s="43">
        <f>VLOOKUP(K48,Reinigungstage!A10:D31,4,FALSE)</f>
        <v>1</v>
      </c>
      <c r="M48" s="43">
        <f t="shared" si="0"/>
        <v>47.13</v>
      </c>
      <c r="N48" s="110">
        <f t="shared" si="1"/>
        <v>0</v>
      </c>
      <c r="O48" s="43">
        <f ca="1">IF('SVS GrundRG'!H61="",0,'SVS GrundRG'!H61)</f>
        <v>0</v>
      </c>
      <c r="P48" s="43">
        <f t="shared" si="2"/>
        <v>0</v>
      </c>
      <c r="Q48" s="43">
        <f t="shared" si="3"/>
        <v>0</v>
      </c>
      <c r="R48" s="43">
        <f t="shared" si="4"/>
        <v>0</v>
      </c>
      <c r="S48" s="3" t="str">
        <f t="shared" si="5"/>
        <v>Leistungswert eintragen</v>
      </c>
      <c r="U48" s="3">
        <f t="shared" si="6"/>
        <v>13</v>
      </c>
      <c r="V48" s="3">
        <f t="shared" si="7"/>
        <v>3.9</v>
      </c>
      <c r="W48" s="3">
        <f t="shared" si="8"/>
        <v>16.899999999999999</v>
      </c>
      <c r="X48" s="3" t="str">
        <f t="shared" si="9"/>
        <v/>
      </c>
    </row>
    <row r="49" spans="1:24" ht="15" customHeight="1" x14ac:dyDescent="0.2">
      <c r="A49" s="96">
        <v>28</v>
      </c>
      <c r="B49" s="107"/>
      <c r="C49" s="108" t="s">
        <v>233</v>
      </c>
      <c r="D49" s="108"/>
      <c r="E49" s="108" t="s">
        <v>236</v>
      </c>
      <c r="F49" s="108" t="s">
        <v>218</v>
      </c>
      <c r="G49" s="109">
        <v>21.09</v>
      </c>
      <c r="H49" s="109"/>
      <c r="I49" s="109"/>
      <c r="J49" s="96" t="s">
        <v>237</v>
      </c>
      <c r="K49" s="96" t="s">
        <v>143</v>
      </c>
      <c r="L49" s="43">
        <f>VLOOKUP(K49,Reinigungstage!A10:D31,4,FALSE)</f>
        <v>1</v>
      </c>
      <c r="M49" s="43">
        <f t="shared" si="0"/>
        <v>21.09</v>
      </c>
      <c r="N49" s="110">
        <f t="shared" si="1"/>
        <v>0</v>
      </c>
      <c r="O49" s="43">
        <f ca="1">IF('SVS GrundRG'!H61="",0,'SVS GrundRG'!H61)</f>
        <v>0</v>
      </c>
      <c r="P49" s="43">
        <f t="shared" si="2"/>
        <v>0</v>
      </c>
      <c r="Q49" s="43">
        <f t="shared" si="3"/>
        <v>0</v>
      </c>
      <c r="R49" s="43">
        <f t="shared" si="4"/>
        <v>0</v>
      </c>
      <c r="S49" s="3" t="str">
        <f t="shared" si="5"/>
        <v>Leistungswert eintragen</v>
      </c>
      <c r="U49" s="3">
        <f t="shared" si="6"/>
        <v>13</v>
      </c>
      <c r="V49" s="3">
        <f t="shared" si="7"/>
        <v>3.9</v>
      </c>
      <c r="W49" s="3">
        <f t="shared" si="8"/>
        <v>16.899999999999999</v>
      </c>
      <c r="X49" s="3" t="str">
        <f t="shared" si="9"/>
        <v/>
      </c>
    </row>
    <row r="50" spans="1:24" ht="15" customHeight="1" x14ac:dyDescent="0.2">
      <c r="A50" s="96">
        <v>29</v>
      </c>
      <c r="B50" s="107"/>
      <c r="C50" s="108" t="s">
        <v>233</v>
      </c>
      <c r="D50" s="108"/>
      <c r="E50" s="108" t="s">
        <v>237</v>
      </c>
      <c r="F50" s="108" t="s">
        <v>218</v>
      </c>
      <c r="G50" s="109">
        <v>24.67</v>
      </c>
      <c r="H50" s="109"/>
      <c r="I50" s="109"/>
      <c r="J50" s="96" t="s">
        <v>237</v>
      </c>
      <c r="K50" s="96" t="s">
        <v>143</v>
      </c>
      <c r="L50" s="43">
        <f>VLOOKUP(K50,Reinigungstage!A10:D31,4,FALSE)</f>
        <v>1</v>
      </c>
      <c r="M50" s="43">
        <f t="shared" si="0"/>
        <v>24.67</v>
      </c>
      <c r="N50" s="110">
        <f t="shared" si="1"/>
        <v>0</v>
      </c>
      <c r="O50" s="43">
        <f ca="1">IF('SVS GrundRG'!H61="",0,'SVS GrundRG'!H61)</f>
        <v>0</v>
      </c>
      <c r="P50" s="43">
        <f t="shared" si="2"/>
        <v>0</v>
      </c>
      <c r="Q50" s="43">
        <f t="shared" si="3"/>
        <v>0</v>
      </c>
      <c r="R50" s="43">
        <f t="shared" si="4"/>
        <v>0</v>
      </c>
      <c r="S50" s="3" t="str">
        <f t="shared" si="5"/>
        <v>Leistungswert eintragen</v>
      </c>
      <c r="U50" s="3">
        <f t="shared" si="6"/>
        <v>13</v>
      </c>
      <c r="V50" s="3">
        <f t="shared" si="7"/>
        <v>3.9</v>
      </c>
      <c r="W50" s="3">
        <f t="shared" si="8"/>
        <v>16.899999999999999</v>
      </c>
      <c r="X50" s="3" t="str">
        <f t="shared" si="9"/>
        <v/>
      </c>
    </row>
    <row r="51" spans="1:24" ht="15" customHeight="1" x14ac:dyDescent="0.2">
      <c r="A51" s="96">
        <v>30</v>
      </c>
      <c r="B51" s="107"/>
      <c r="C51" s="108" t="s">
        <v>233</v>
      </c>
      <c r="D51" s="108" t="s">
        <v>238</v>
      </c>
      <c r="E51" s="108" t="s">
        <v>217</v>
      </c>
      <c r="F51" s="108" t="s">
        <v>218</v>
      </c>
      <c r="G51" s="109">
        <v>45.72</v>
      </c>
      <c r="H51" s="109"/>
      <c r="I51" s="109"/>
      <c r="J51" s="96" t="s">
        <v>258</v>
      </c>
      <c r="K51" s="96" t="s">
        <v>143</v>
      </c>
      <c r="L51" s="43">
        <f>VLOOKUP(K51,Reinigungstage!A10:D31,4,FALSE)</f>
        <v>1</v>
      </c>
      <c r="M51" s="43">
        <f t="shared" si="0"/>
        <v>45.72</v>
      </c>
      <c r="N51" s="110">
        <f t="shared" si="1"/>
        <v>0</v>
      </c>
      <c r="O51" s="43">
        <f ca="1">IF('SVS GrundRG'!H61="",0,'SVS GrundRG'!H61)</f>
        <v>0</v>
      </c>
      <c r="P51" s="43">
        <f t="shared" si="2"/>
        <v>0</v>
      </c>
      <c r="Q51" s="43">
        <f t="shared" si="3"/>
        <v>0</v>
      </c>
      <c r="R51" s="43">
        <f t="shared" si="4"/>
        <v>0</v>
      </c>
      <c r="S51" s="3" t="str">
        <f t="shared" si="5"/>
        <v>Leistungswert eintragen</v>
      </c>
      <c r="U51" s="3">
        <f t="shared" si="6"/>
        <v>14</v>
      </c>
      <c r="V51" s="3">
        <f t="shared" si="7"/>
        <v>4.2</v>
      </c>
      <c r="W51" s="3">
        <f t="shared" si="8"/>
        <v>18.2</v>
      </c>
      <c r="X51" s="3" t="str">
        <f t="shared" si="9"/>
        <v/>
      </c>
    </row>
    <row r="52" spans="1:24" ht="15" customHeight="1" x14ac:dyDescent="0.2">
      <c r="A52" s="96">
        <v>31</v>
      </c>
      <c r="B52" s="107"/>
      <c r="C52" s="108" t="s">
        <v>233</v>
      </c>
      <c r="D52" s="108"/>
      <c r="E52" s="108" t="s">
        <v>217</v>
      </c>
      <c r="F52" s="108" t="s">
        <v>218</v>
      </c>
      <c r="G52" s="109">
        <v>36.96</v>
      </c>
      <c r="H52" s="109"/>
      <c r="I52" s="109"/>
      <c r="J52" s="96" t="s">
        <v>258</v>
      </c>
      <c r="K52" s="96" t="s">
        <v>143</v>
      </c>
      <c r="L52" s="43">
        <f>VLOOKUP(K52,Reinigungstage!A10:D31,4,FALSE)</f>
        <v>1</v>
      </c>
      <c r="M52" s="43">
        <f t="shared" si="0"/>
        <v>36.96</v>
      </c>
      <c r="N52" s="110">
        <f t="shared" si="1"/>
        <v>0</v>
      </c>
      <c r="O52" s="43">
        <f ca="1">IF('SVS GrundRG'!H61="",0,'SVS GrundRG'!H61)</f>
        <v>0</v>
      </c>
      <c r="P52" s="43">
        <f t="shared" si="2"/>
        <v>0</v>
      </c>
      <c r="Q52" s="43">
        <f t="shared" si="3"/>
        <v>0</v>
      </c>
      <c r="R52" s="43">
        <f t="shared" si="4"/>
        <v>0</v>
      </c>
      <c r="S52" s="3" t="str">
        <f t="shared" si="5"/>
        <v>Leistungswert eintragen</v>
      </c>
      <c r="U52" s="3">
        <f t="shared" si="6"/>
        <v>14</v>
      </c>
      <c r="V52" s="3">
        <f t="shared" si="7"/>
        <v>4.2</v>
      </c>
      <c r="W52" s="3">
        <f t="shared" si="8"/>
        <v>18.2</v>
      </c>
      <c r="X52" s="3" t="str">
        <f t="shared" si="9"/>
        <v/>
      </c>
    </row>
    <row r="53" spans="1:24" ht="15" customHeight="1" x14ac:dyDescent="0.2">
      <c r="A53" s="96">
        <v>32</v>
      </c>
      <c r="B53" s="107">
        <v>16</v>
      </c>
      <c r="C53" s="108" t="s">
        <v>233</v>
      </c>
      <c r="D53" s="108" t="s">
        <v>239</v>
      </c>
      <c r="E53" s="108" t="s">
        <v>217</v>
      </c>
      <c r="F53" s="108" t="s">
        <v>218</v>
      </c>
      <c r="G53" s="109">
        <v>67.53</v>
      </c>
      <c r="H53" s="109"/>
      <c r="I53" s="109"/>
      <c r="J53" s="96" t="s">
        <v>258</v>
      </c>
      <c r="K53" s="96" t="s">
        <v>143</v>
      </c>
      <c r="L53" s="43">
        <f>VLOOKUP(K53,Reinigungstage!A10:D31,4,FALSE)</f>
        <v>1</v>
      </c>
      <c r="M53" s="43">
        <f t="shared" si="0"/>
        <v>67.53</v>
      </c>
      <c r="N53" s="110">
        <f t="shared" si="1"/>
        <v>0</v>
      </c>
      <c r="O53" s="43">
        <f ca="1">IF('SVS GrundRG'!H61="",0,'SVS GrundRG'!H61)</f>
        <v>0</v>
      </c>
      <c r="P53" s="43">
        <f t="shared" si="2"/>
        <v>0</v>
      </c>
      <c r="Q53" s="43">
        <f t="shared" si="3"/>
        <v>0</v>
      </c>
      <c r="R53" s="43">
        <f t="shared" si="4"/>
        <v>0</v>
      </c>
      <c r="S53" s="3" t="str">
        <f t="shared" si="5"/>
        <v>Leistungswert eintragen</v>
      </c>
      <c r="U53" s="3">
        <f t="shared" si="6"/>
        <v>14</v>
      </c>
      <c r="V53" s="3">
        <f t="shared" si="7"/>
        <v>4.2</v>
      </c>
      <c r="W53" s="3">
        <f t="shared" si="8"/>
        <v>18.2</v>
      </c>
      <c r="X53" s="3" t="str">
        <f t="shared" si="9"/>
        <v/>
      </c>
    </row>
    <row r="54" spans="1:24" ht="15" customHeight="1" x14ac:dyDescent="0.2">
      <c r="A54" s="96">
        <v>33</v>
      </c>
      <c r="B54" s="107"/>
      <c r="C54" s="108" t="s">
        <v>233</v>
      </c>
      <c r="D54" s="108" t="s">
        <v>240</v>
      </c>
      <c r="E54" s="108" t="s">
        <v>217</v>
      </c>
      <c r="F54" s="108" t="s">
        <v>218</v>
      </c>
      <c r="G54" s="109">
        <v>14.83</v>
      </c>
      <c r="H54" s="109"/>
      <c r="I54" s="109"/>
      <c r="J54" s="96" t="s">
        <v>258</v>
      </c>
      <c r="K54" s="96" t="s">
        <v>143</v>
      </c>
      <c r="L54" s="43">
        <f>VLOOKUP(K54,Reinigungstage!A10:D31,4,FALSE)</f>
        <v>1</v>
      </c>
      <c r="M54" s="43">
        <f t="shared" ref="M54:M75" si="10">ROUND(IF(L54=0,0,L54*G54),2)</f>
        <v>14.83</v>
      </c>
      <c r="N54" s="110">
        <f t="shared" ref="N54:N75" si="11">VLOOKUP(J54,$G$4:$H$10,2,FALSE)</f>
        <v>0</v>
      </c>
      <c r="O54" s="43">
        <f ca="1">IF('SVS GrundRG'!H61="",0,'SVS GrundRG'!H61)</f>
        <v>0</v>
      </c>
      <c r="P54" s="43">
        <f t="shared" ref="P54:P75" si="12">ROUND(IF(N54=0,0,M54/N54),2)</f>
        <v>0</v>
      </c>
      <c r="Q54" s="43">
        <f t="shared" ref="Q54:Q75" si="13">ROUND(IF(P54=0,0,P54*O54),2)</f>
        <v>0</v>
      </c>
      <c r="R54" s="43">
        <f t="shared" ref="R54:R75" si="14">ROUND(IF(P54=0,0,Q54/L54),2)</f>
        <v>0</v>
      </c>
      <c r="S54" s="3" t="str">
        <f t="shared" ref="S54:S75" si="15">IF(M54=0,"",IF(N54=0,"Leistungswert eintragen",IF(O54=0,"SVS prüfen","")))</f>
        <v>Leistungswert eintragen</v>
      </c>
      <c r="U54" s="3">
        <f t="shared" ref="U54:U75" si="16">VLOOKUP(J54,$U$4:$V$11,2,FALSE)</f>
        <v>14</v>
      </c>
      <c r="V54" s="3">
        <f t="shared" ref="V54:V75" si="17">U54*30%</f>
        <v>4.2</v>
      </c>
      <c r="W54" s="3">
        <f t="shared" ref="W54:W75" si="18">SUM(U54:V54)</f>
        <v>18.2</v>
      </c>
      <c r="X54" s="3" t="str">
        <f t="shared" ref="X54:X75" si="19">IF(N54=0,"",IF(W54&lt;N54,1,IF(W54&gt;=N54,0,"")))</f>
        <v/>
      </c>
    </row>
    <row r="55" spans="1:24" ht="15" customHeight="1" x14ac:dyDescent="0.2">
      <c r="A55" s="96">
        <v>34</v>
      </c>
      <c r="B55" s="107"/>
      <c r="C55" s="108" t="s">
        <v>233</v>
      </c>
      <c r="D55" s="108"/>
      <c r="E55" s="108" t="s">
        <v>242</v>
      </c>
      <c r="F55" s="108" t="s">
        <v>220</v>
      </c>
      <c r="G55" s="109">
        <v>17.64</v>
      </c>
      <c r="H55" s="109"/>
      <c r="I55" s="109"/>
      <c r="J55" s="96" t="s">
        <v>260</v>
      </c>
      <c r="K55" s="96" t="s">
        <v>143</v>
      </c>
      <c r="L55" s="43">
        <f>VLOOKUP(K55,Reinigungstage!A10:D31,4,FALSE)</f>
        <v>1</v>
      </c>
      <c r="M55" s="43">
        <f t="shared" si="10"/>
        <v>17.64</v>
      </c>
      <c r="N55" s="110">
        <f t="shared" si="11"/>
        <v>0</v>
      </c>
      <c r="O55" s="43">
        <f ca="1">IF('SVS GrundRG'!H61="",0,'SVS GrundRG'!H61)</f>
        <v>0</v>
      </c>
      <c r="P55" s="43">
        <f t="shared" si="12"/>
        <v>0</v>
      </c>
      <c r="Q55" s="43">
        <f t="shared" si="13"/>
        <v>0</v>
      </c>
      <c r="R55" s="43">
        <f t="shared" si="14"/>
        <v>0</v>
      </c>
      <c r="S55" s="3" t="str">
        <f t="shared" si="15"/>
        <v>Leistungswert eintragen</v>
      </c>
      <c r="U55" s="3">
        <f t="shared" si="16"/>
        <v>24</v>
      </c>
      <c r="V55" s="3">
        <f t="shared" si="17"/>
        <v>7.1999999999999993</v>
      </c>
      <c r="W55" s="3">
        <f t="shared" si="18"/>
        <v>31.2</v>
      </c>
      <c r="X55" s="3" t="str">
        <f t="shared" si="19"/>
        <v/>
      </c>
    </row>
    <row r="56" spans="1:24" ht="15" customHeight="1" x14ac:dyDescent="0.2">
      <c r="A56" s="96">
        <v>35</v>
      </c>
      <c r="B56" s="107"/>
      <c r="C56" s="108" t="s">
        <v>233</v>
      </c>
      <c r="D56" s="108"/>
      <c r="E56" s="108" t="s">
        <v>243</v>
      </c>
      <c r="F56" s="108" t="s">
        <v>220</v>
      </c>
      <c r="G56" s="109">
        <v>20</v>
      </c>
      <c r="H56" s="109"/>
      <c r="I56" s="109"/>
      <c r="J56" s="96" t="s">
        <v>260</v>
      </c>
      <c r="K56" s="96" t="s">
        <v>143</v>
      </c>
      <c r="L56" s="43">
        <f>VLOOKUP(K56,Reinigungstage!A10:D31,4,FALSE)</f>
        <v>1</v>
      </c>
      <c r="M56" s="43">
        <f t="shared" si="10"/>
        <v>20</v>
      </c>
      <c r="N56" s="110">
        <f t="shared" si="11"/>
        <v>0</v>
      </c>
      <c r="O56" s="43">
        <f ca="1">IF('SVS GrundRG'!H61="",0,'SVS GrundRG'!H61)</f>
        <v>0</v>
      </c>
      <c r="P56" s="43">
        <f t="shared" si="12"/>
        <v>0</v>
      </c>
      <c r="Q56" s="43">
        <f t="shared" si="13"/>
        <v>0</v>
      </c>
      <c r="R56" s="43">
        <f t="shared" si="14"/>
        <v>0</v>
      </c>
      <c r="S56" s="3" t="str">
        <f t="shared" si="15"/>
        <v>Leistungswert eintragen</v>
      </c>
      <c r="U56" s="3">
        <f t="shared" si="16"/>
        <v>24</v>
      </c>
      <c r="V56" s="3">
        <f t="shared" si="17"/>
        <v>7.1999999999999993</v>
      </c>
      <c r="W56" s="3">
        <f t="shared" si="18"/>
        <v>31.2</v>
      </c>
      <c r="X56" s="3" t="str">
        <f t="shared" si="19"/>
        <v/>
      </c>
    </row>
    <row r="57" spans="1:24" ht="15" customHeight="1" x14ac:dyDescent="0.2">
      <c r="A57" s="96">
        <v>36</v>
      </c>
      <c r="B57" s="107"/>
      <c r="C57" s="108" t="s">
        <v>233</v>
      </c>
      <c r="D57" s="108"/>
      <c r="E57" s="108" t="s">
        <v>223</v>
      </c>
      <c r="F57" s="108" t="s">
        <v>244</v>
      </c>
      <c r="G57" s="109">
        <v>6.4</v>
      </c>
      <c r="H57" s="109"/>
      <c r="I57" s="109"/>
      <c r="J57" s="96" t="s">
        <v>223</v>
      </c>
      <c r="K57" s="96" t="s">
        <v>143</v>
      </c>
      <c r="L57" s="43">
        <f>VLOOKUP(K57,Reinigungstage!A10:D31,4,FALSE)</f>
        <v>1</v>
      </c>
      <c r="M57" s="43">
        <f t="shared" si="10"/>
        <v>6.4</v>
      </c>
      <c r="N57" s="110">
        <f t="shared" si="11"/>
        <v>0</v>
      </c>
      <c r="O57" s="43">
        <f ca="1">IF('SVS GrundRG'!H61="",0,'SVS GrundRG'!H61)</f>
        <v>0</v>
      </c>
      <c r="P57" s="43">
        <f t="shared" si="12"/>
        <v>0</v>
      </c>
      <c r="Q57" s="43">
        <f t="shared" si="13"/>
        <v>0</v>
      </c>
      <c r="R57" s="43">
        <f t="shared" si="14"/>
        <v>0</v>
      </c>
      <c r="S57" s="3" t="str">
        <f t="shared" si="15"/>
        <v>Leistungswert eintragen</v>
      </c>
      <c r="U57" s="3">
        <f t="shared" si="16"/>
        <v>14</v>
      </c>
      <c r="V57" s="3">
        <f t="shared" si="17"/>
        <v>4.2</v>
      </c>
      <c r="W57" s="3">
        <f t="shared" si="18"/>
        <v>18.2</v>
      </c>
      <c r="X57" s="3" t="str">
        <f t="shared" si="19"/>
        <v/>
      </c>
    </row>
    <row r="58" spans="1:24" ht="15" customHeight="1" x14ac:dyDescent="0.2">
      <c r="A58" s="96">
        <v>37</v>
      </c>
      <c r="B58" s="107"/>
      <c r="C58" s="108" t="s">
        <v>233</v>
      </c>
      <c r="D58" s="108" t="s">
        <v>245</v>
      </c>
      <c r="E58" s="108" t="s">
        <v>222</v>
      </c>
      <c r="F58" s="108" t="s">
        <v>220</v>
      </c>
      <c r="G58" s="109">
        <v>39.36</v>
      </c>
      <c r="H58" s="109"/>
      <c r="I58" s="109"/>
      <c r="J58" s="96" t="s">
        <v>260</v>
      </c>
      <c r="K58" s="96" t="s">
        <v>143</v>
      </c>
      <c r="L58" s="43">
        <f>VLOOKUP(K58,Reinigungstage!A10:D31,4,FALSE)</f>
        <v>1</v>
      </c>
      <c r="M58" s="43">
        <f t="shared" si="10"/>
        <v>39.36</v>
      </c>
      <c r="N58" s="110">
        <f t="shared" si="11"/>
        <v>0</v>
      </c>
      <c r="O58" s="43">
        <f ca="1">IF('SVS GrundRG'!H61="",0,'SVS GrundRG'!H61)</f>
        <v>0</v>
      </c>
      <c r="P58" s="43">
        <f t="shared" si="12"/>
        <v>0</v>
      </c>
      <c r="Q58" s="43">
        <f t="shared" si="13"/>
        <v>0</v>
      </c>
      <c r="R58" s="43">
        <f t="shared" si="14"/>
        <v>0</v>
      </c>
      <c r="S58" s="3" t="str">
        <f t="shared" si="15"/>
        <v>Leistungswert eintragen</v>
      </c>
      <c r="U58" s="3">
        <f t="shared" si="16"/>
        <v>24</v>
      </c>
      <c r="V58" s="3">
        <f t="shared" si="17"/>
        <v>7.1999999999999993</v>
      </c>
      <c r="W58" s="3">
        <f t="shared" si="18"/>
        <v>31.2</v>
      </c>
      <c r="X58" s="3" t="str">
        <f t="shared" si="19"/>
        <v/>
      </c>
    </row>
    <row r="59" spans="1:24" ht="15" customHeight="1" x14ac:dyDescent="0.2">
      <c r="A59" s="96">
        <v>38</v>
      </c>
      <c r="B59" s="107"/>
      <c r="C59" s="108" t="s">
        <v>233</v>
      </c>
      <c r="D59" s="108"/>
      <c r="E59" s="108" t="s">
        <v>246</v>
      </c>
      <c r="F59" s="108" t="s">
        <v>218</v>
      </c>
      <c r="G59" s="109">
        <v>41.81</v>
      </c>
      <c r="H59" s="109"/>
      <c r="I59" s="109"/>
      <c r="J59" s="96" t="s">
        <v>258</v>
      </c>
      <c r="K59" s="96" t="s">
        <v>143</v>
      </c>
      <c r="L59" s="43">
        <f>VLOOKUP(K59,Reinigungstage!A10:D31,4,FALSE)</f>
        <v>1</v>
      </c>
      <c r="M59" s="43">
        <f t="shared" si="10"/>
        <v>41.81</v>
      </c>
      <c r="N59" s="110">
        <f t="shared" si="11"/>
        <v>0</v>
      </c>
      <c r="O59" s="43">
        <f ca="1">IF('SVS GrundRG'!H61="",0,'SVS GrundRG'!H61)</f>
        <v>0</v>
      </c>
      <c r="P59" s="43">
        <f t="shared" si="12"/>
        <v>0</v>
      </c>
      <c r="Q59" s="43">
        <f t="shared" si="13"/>
        <v>0</v>
      </c>
      <c r="R59" s="43">
        <f t="shared" si="14"/>
        <v>0</v>
      </c>
      <c r="S59" s="3" t="str">
        <f t="shared" si="15"/>
        <v>Leistungswert eintragen</v>
      </c>
      <c r="U59" s="3">
        <f t="shared" si="16"/>
        <v>14</v>
      </c>
      <c r="V59" s="3">
        <f t="shared" si="17"/>
        <v>4.2</v>
      </c>
      <c r="W59" s="3">
        <f t="shared" si="18"/>
        <v>18.2</v>
      </c>
      <c r="X59" s="3" t="str">
        <f t="shared" si="19"/>
        <v/>
      </c>
    </row>
    <row r="60" spans="1:24" ht="15" customHeight="1" x14ac:dyDescent="0.2">
      <c r="A60" s="96">
        <v>39</v>
      </c>
      <c r="B60" s="107"/>
      <c r="C60" s="108" t="s">
        <v>233</v>
      </c>
      <c r="D60" s="108"/>
      <c r="E60" s="108" t="s">
        <v>223</v>
      </c>
      <c r="F60" s="108" t="s">
        <v>220</v>
      </c>
      <c r="G60" s="109">
        <v>22.05</v>
      </c>
      <c r="H60" s="109"/>
      <c r="I60" s="109"/>
      <c r="J60" s="96" t="s">
        <v>223</v>
      </c>
      <c r="K60" s="96" t="s">
        <v>143</v>
      </c>
      <c r="L60" s="43">
        <f>VLOOKUP(K60,Reinigungstage!A10:D31,4,FALSE)</f>
        <v>1</v>
      </c>
      <c r="M60" s="43">
        <f t="shared" si="10"/>
        <v>22.05</v>
      </c>
      <c r="N60" s="110">
        <f t="shared" si="11"/>
        <v>0</v>
      </c>
      <c r="O60" s="43">
        <f ca="1">IF('SVS GrundRG'!H61="",0,'SVS GrundRG'!H61)</f>
        <v>0</v>
      </c>
      <c r="P60" s="43">
        <f t="shared" si="12"/>
        <v>0</v>
      </c>
      <c r="Q60" s="43">
        <f t="shared" si="13"/>
        <v>0</v>
      </c>
      <c r="R60" s="43">
        <f t="shared" si="14"/>
        <v>0</v>
      </c>
      <c r="S60" s="3" t="str">
        <f t="shared" si="15"/>
        <v>Leistungswert eintragen</v>
      </c>
      <c r="U60" s="3">
        <f t="shared" si="16"/>
        <v>14</v>
      </c>
      <c r="V60" s="3">
        <f t="shared" si="17"/>
        <v>4.2</v>
      </c>
      <c r="W60" s="3">
        <f t="shared" si="18"/>
        <v>18.2</v>
      </c>
      <c r="X60" s="3" t="str">
        <f t="shared" si="19"/>
        <v/>
      </c>
    </row>
    <row r="61" spans="1:24" ht="15" customHeight="1" x14ac:dyDescent="0.2">
      <c r="A61" s="96">
        <v>40</v>
      </c>
      <c r="B61" s="107"/>
      <c r="C61" s="108" t="s">
        <v>233</v>
      </c>
      <c r="D61" s="108"/>
      <c r="E61" s="108" t="s">
        <v>223</v>
      </c>
      <c r="F61" s="108" t="s">
        <v>218</v>
      </c>
      <c r="G61" s="109">
        <v>12.88</v>
      </c>
      <c r="H61" s="109"/>
      <c r="I61" s="109"/>
      <c r="J61" s="96" t="s">
        <v>223</v>
      </c>
      <c r="K61" s="96" t="s">
        <v>143</v>
      </c>
      <c r="L61" s="43">
        <f>VLOOKUP(K61,Reinigungstage!A10:D31,4,FALSE)</f>
        <v>1</v>
      </c>
      <c r="M61" s="43">
        <f t="shared" si="10"/>
        <v>12.88</v>
      </c>
      <c r="N61" s="110">
        <f t="shared" si="11"/>
        <v>0</v>
      </c>
      <c r="O61" s="43">
        <f ca="1">IF('SVS GrundRG'!H61="",0,'SVS GrundRG'!H61)</f>
        <v>0</v>
      </c>
      <c r="P61" s="43">
        <f t="shared" si="12"/>
        <v>0</v>
      </c>
      <c r="Q61" s="43">
        <f t="shared" si="13"/>
        <v>0</v>
      </c>
      <c r="R61" s="43">
        <f t="shared" si="14"/>
        <v>0</v>
      </c>
      <c r="S61" s="3" t="str">
        <f t="shared" si="15"/>
        <v>Leistungswert eintragen</v>
      </c>
      <c r="U61" s="3">
        <f t="shared" si="16"/>
        <v>14</v>
      </c>
      <c r="V61" s="3">
        <f t="shared" si="17"/>
        <v>4.2</v>
      </c>
      <c r="W61" s="3">
        <f t="shared" si="18"/>
        <v>18.2</v>
      </c>
      <c r="X61" s="3" t="str">
        <f t="shared" si="19"/>
        <v/>
      </c>
    </row>
    <row r="62" spans="1:24" ht="15" customHeight="1" x14ac:dyDescent="0.2">
      <c r="A62" s="96">
        <v>41</v>
      </c>
      <c r="B62" s="107"/>
      <c r="C62" s="108" t="s">
        <v>233</v>
      </c>
      <c r="D62" s="108"/>
      <c r="E62" s="108" t="s">
        <v>232</v>
      </c>
      <c r="F62" s="108" t="s">
        <v>220</v>
      </c>
      <c r="G62" s="109">
        <v>4.45</v>
      </c>
      <c r="H62" s="109"/>
      <c r="I62" s="109"/>
      <c r="J62" s="96" t="s">
        <v>223</v>
      </c>
      <c r="K62" s="96" t="s">
        <v>143</v>
      </c>
      <c r="L62" s="43">
        <f>VLOOKUP(K62,Reinigungstage!A10:D31,4,FALSE)</f>
        <v>1</v>
      </c>
      <c r="M62" s="43">
        <f t="shared" si="10"/>
        <v>4.45</v>
      </c>
      <c r="N62" s="110">
        <f t="shared" si="11"/>
        <v>0</v>
      </c>
      <c r="O62" s="43">
        <f ca="1">IF('SVS GrundRG'!H61="",0,'SVS GrundRG'!H61)</f>
        <v>0</v>
      </c>
      <c r="P62" s="43">
        <f t="shared" si="12"/>
        <v>0</v>
      </c>
      <c r="Q62" s="43">
        <f t="shared" si="13"/>
        <v>0</v>
      </c>
      <c r="R62" s="43">
        <f t="shared" si="14"/>
        <v>0</v>
      </c>
      <c r="S62" s="3" t="str">
        <f t="shared" si="15"/>
        <v>Leistungswert eintragen</v>
      </c>
      <c r="U62" s="3">
        <f t="shared" si="16"/>
        <v>14</v>
      </c>
      <c r="V62" s="3">
        <f t="shared" si="17"/>
        <v>4.2</v>
      </c>
      <c r="W62" s="3">
        <f t="shared" si="18"/>
        <v>18.2</v>
      </c>
      <c r="X62" s="3" t="str">
        <f t="shared" si="19"/>
        <v/>
      </c>
    </row>
    <row r="63" spans="1:24" ht="15" customHeight="1" x14ac:dyDescent="0.2">
      <c r="A63" s="96">
        <v>42</v>
      </c>
      <c r="B63" s="107"/>
      <c r="C63" s="108" t="s">
        <v>233</v>
      </c>
      <c r="D63" s="108"/>
      <c r="E63" s="108" t="s">
        <v>223</v>
      </c>
      <c r="F63" s="108" t="s">
        <v>218</v>
      </c>
      <c r="G63" s="109">
        <v>7.15</v>
      </c>
      <c r="H63" s="109"/>
      <c r="I63" s="109"/>
      <c r="J63" s="96" t="s">
        <v>223</v>
      </c>
      <c r="K63" s="96" t="s">
        <v>143</v>
      </c>
      <c r="L63" s="43">
        <f>VLOOKUP(K63,Reinigungstage!A10:D31,4,FALSE)</f>
        <v>1</v>
      </c>
      <c r="M63" s="43">
        <f t="shared" si="10"/>
        <v>7.15</v>
      </c>
      <c r="N63" s="110">
        <f t="shared" si="11"/>
        <v>0</v>
      </c>
      <c r="O63" s="43">
        <f ca="1">IF('SVS GrundRG'!H61="",0,'SVS GrundRG'!H61)</f>
        <v>0</v>
      </c>
      <c r="P63" s="43">
        <f t="shared" si="12"/>
        <v>0</v>
      </c>
      <c r="Q63" s="43">
        <f t="shared" si="13"/>
        <v>0</v>
      </c>
      <c r="R63" s="43">
        <f t="shared" si="14"/>
        <v>0</v>
      </c>
      <c r="S63" s="3" t="str">
        <f t="shared" si="15"/>
        <v>Leistungswert eintragen</v>
      </c>
      <c r="U63" s="3">
        <f t="shared" si="16"/>
        <v>14</v>
      </c>
      <c r="V63" s="3">
        <f t="shared" si="17"/>
        <v>4.2</v>
      </c>
      <c r="W63" s="3">
        <f t="shared" si="18"/>
        <v>18.2</v>
      </c>
      <c r="X63" s="3" t="str">
        <f t="shared" si="19"/>
        <v/>
      </c>
    </row>
    <row r="64" spans="1:24" ht="15" customHeight="1" x14ac:dyDescent="0.2">
      <c r="A64" s="96">
        <v>43</v>
      </c>
      <c r="B64" s="107" t="s">
        <v>247</v>
      </c>
      <c r="C64" s="108" t="s">
        <v>248</v>
      </c>
      <c r="D64" s="108"/>
      <c r="E64" s="108" t="s">
        <v>217</v>
      </c>
      <c r="F64" s="108" t="s">
        <v>218</v>
      </c>
      <c r="G64" s="109">
        <v>61.29</v>
      </c>
      <c r="H64" s="109"/>
      <c r="I64" s="109"/>
      <c r="J64" s="96" t="s">
        <v>258</v>
      </c>
      <c r="K64" s="96" t="s">
        <v>143</v>
      </c>
      <c r="L64" s="43">
        <f>VLOOKUP(K64,Reinigungstage!A10:D31,4,FALSE)</f>
        <v>1</v>
      </c>
      <c r="M64" s="43">
        <f t="shared" si="10"/>
        <v>61.29</v>
      </c>
      <c r="N64" s="110">
        <f t="shared" si="11"/>
        <v>0</v>
      </c>
      <c r="O64" s="43">
        <f ca="1">IF('SVS GrundRG'!H61="",0,'SVS GrundRG'!H61)</f>
        <v>0</v>
      </c>
      <c r="P64" s="43">
        <f t="shared" si="12"/>
        <v>0</v>
      </c>
      <c r="Q64" s="43">
        <f t="shared" si="13"/>
        <v>0</v>
      </c>
      <c r="R64" s="43">
        <f t="shared" si="14"/>
        <v>0</v>
      </c>
      <c r="S64" s="3" t="str">
        <f t="shared" si="15"/>
        <v>Leistungswert eintragen</v>
      </c>
      <c r="U64" s="3">
        <f t="shared" si="16"/>
        <v>14</v>
      </c>
      <c r="V64" s="3">
        <f t="shared" si="17"/>
        <v>4.2</v>
      </c>
      <c r="W64" s="3">
        <f t="shared" si="18"/>
        <v>18.2</v>
      </c>
      <c r="X64" s="3" t="str">
        <f t="shared" si="19"/>
        <v/>
      </c>
    </row>
    <row r="65" spans="1:24" ht="15" customHeight="1" x14ac:dyDescent="0.2">
      <c r="A65" s="96">
        <v>44</v>
      </c>
      <c r="B65" s="107"/>
      <c r="C65" s="108" t="s">
        <v>248</v>
      </c>
      <c r="D65" s="108"/>
      <c r="E65" s="108" t="s">
        <v>222</v>
      </c>
      <c r="F65" s="108" t="s">
        <v>220</v>
      </c>
      <c r="G65" s="109">
        <v>69.709999999999994</v>
      </c>
      <c r="H65" s="109"/>
      <c r="I65" s="109"/>
      <c r="J65" s="96" t="s">
        <v>260</v>
      </c>
      <c r="K65" s="96" t="s">
        <v>143</v>
      </c>
      <c r="L65" s="43">
        <f>VLOOKUP(K65,Reinigungstage!A10:D31,4,FALSE)</f>
        <v>1</v>
      </c>
      <c r="M65" s="43">
        <f t="shared" si="10"/>
        <v>69.709999999999994</v>
      </c>
      <c r="N65" s="110">
        <f t="shared" si="11"/>
        <v>0</v>
      </c>
      <c r="O65" s="43">
        <f ca="1">IF('SVS GrundRG'!H61="",0,'SVS GrundRG'!H61)</f>
        <v>0</v>
      </c>
      <c r="P65" s="43">
        <f t="shared" si="12"/>
        <v>0</v>
      </c>
      <c r="Q65" s="43">
        <f t="shared" si="13"/>
        <v>0</v>
      </c>
      <c r="R65" s="43">
        <f t="shared" si="14"/>
        <v>0</v>
      </c>
      <c r="S65" s="3" t="str">
        <f t="shared" si="15"/>
        <v>Leistungswert eintragen</v>
      </c>
      <c r="U65" s="3">
        <f t="shared" si="16"/>
        <v>24</v>
      </c>
      <c r="V65" s="3">
        <f t="shared" si="17"/>
        <v>7.1999999999999993</v>
      </c>
      <c r="W65" s="3">
        <f t="shared" si="18"/>
        <v>31.2</v>
      </c>
      <c r="X65" s="3" t="str">
        <f t="shared" si="19"/>
        <v/>
      </c>
    </row>
    <row r="66" spans="1:24" ht="15" customHeight="1" x14ac:dyDescent="0.2">
      <c r="A66" s="96">
        <v>45</v>
      </c>
      <c r="B66" s="107"/>
      <c r="C66" s="108" t="s">
        <v>248</v>
      </c>
      <c r="D66" s="108"/>
      <c r="E66" s="108" t="s">
        <v>226</v>
      </c>
      <c r="F66" s="108" t="s">
        <v>220</v>
      </c>
      <c r="G66" s="109">
        <v>9.65</v>
      </c>
      <c r="H66" s="109"/>
      <c r="I66" s="109"/>
      <c r="J66" s="96" t="s">
        <v>259</v>
      </c>
      <c r="K66" s="96" t="s">
        <v>143</v>
      </c>
      <c r="L66" s="43">
        <f>VLOOKUP(K66,Reinigungstage!A10:D31,4,FALSE)</f>
        <v>1</v>
      </c>
      <c r="M66" s="43">
        <f t="shared" si="10"/>
        <v>9.65</v>
      </c>
      <c r="N66" s="110">
        <f t="shared" si="11"/>
        <v>0</v>
      </c>
      <c r="O66" s="43">
        <f ca="1">IF('SVS GrundRG'!H61="",0,'SVS GrundRG'!H61)</f>
        <v>0</v>
      </c>
      <c r="P66" s="43">
        <f t="shared" si="12"/>
        <v>0</v>
      </c>
      <c r="Q66" s="43">
        <f t="shared" si="13"/>
        <v>0</v>
      </c>
      <c r="R66" s="43">
        <f t="shared" si="14"/>
        <v>0</v>
      </c>
      <c r="S66" s="3" t="str">
        <f t="shared" si="15"/>
        <v>Leistungswert eintragen</v>
      </c>
      <c r="U66" s="3">
        <f t="shared" si="16"/>
        <v>7</v>
      </c>
      <c r="V66" s="3">
        <f t="shared" si="17"/>
        <v>2.1</v>
      </c>
      <c r="W66" s="3">
        <f t="shared" si="18"/>
        <v>9.1</v>
      </c>
      <c r="X66" s="3" t="str">
        <f t="shared" si="19"/>
        <v/>
      </c>
    </row>
    <row r="67" spans="1:24" ht="15" customHeight="1" x14ac:dyDescent="0.2">
      <c r="A67" s="96">
        <v>46</v>
      </c>
      <c r="B67" s="107"/>
      <c r="C67" s="108" t="s">
        <v>248</v>
      </c>
      <c r="D67" s="108"/>
      <c r="E67" s="108" t="s">
        <v>227</v>
      </c>
      <c r="F67" s="108" t="s">
        <v>220</v>
      </c>
      <c r="G67" s="109">
        <v>11.58</v>
      </c>
      <c r="H67" s="109"/>
      <c r="I67" s="109"/>
      <c r="J67" s="96" t="s">
        <v>259</v>
      </c>
      <c r="K67" s="96" t="s">
        <v>143</v>
      </c>
      <c r="L67" s="43">
        <f>VLOOKUP(K67,Reinigungstage!A10:D31,4,FALSE)</f>
        <v>1</v>
      </c>
      <c r="M67" s="43">
        <f t="shared" si="10"/>
        <v>11.58</v>
      </c>
      <c r="N67" s="110">
        <f t="shared" si="11"/>
        <v>0</v>
      </c>
      <c r="O67" s="43">
        <f ca="1">IF('SVS GrundRG'!H61="",0,'SVS GrundRG'!H61)</f>
        <v>0</v>
      </c>
      <c r="P67" s="43">
        <f t="shared" si="12"/>
        <v>0</v>
      </c>
      <c r="Q67" s="43">
        <f t="shared" si="13"/>
        <v>0</v>
      </c>
      <c r="R67" s="43">
        <f t="shared" si="14"/>
        <v>0</v>
      </c>
      <c r="S67" s="3" t="str">
        <f t="shared" si="15"/>
        <v>Leistungswert eintragen</v>
      </c>
      <c r="U67" s="3">
        <f t="shared" si="16"/>
        <v>7</v>
      </c>
      <c r="V67" s="3">
        <f t="shared" si="17"/>
        <v>2.1</v>
      </c>
      <c r="W67" s="3">
        <f t="shared" si="18"/>
        <v>9.1</v>
      </c>
      <c r="X67" s="3" t="str">
        <f t="shared" si="19"/>
        <v/>
      </c>
    </row>
    <row r="68" spans="1:24" ht="15" customHeight="1" x14ac:dyDescent="0.2">
      <c r="A68" s="96">
        <v>47</v>
      </c>
      <c r="B68" s="107"/>
      <c r="C68" s="108" t="s">
        <v>248</v>
      </c>
      <c r="D68" s="108"/>
      <c r="E68" s="108" t="s">
        <v>226</v>
      </c>
      <c r="F68" s="108" t="s">
        <v>220</v>
      </c>
      <c r="G68" s="109">
        <v>11.14</v>
      </c>
      <c r="H68" s="109"/>
      <c r="I68" s="109"/>
      <c r="J68" s="96" t="s">
        <v>259</v>
      </c>
      <c r="K68" s="96" t="s">
        <v>143</v>
      </c>
      <c r="L68" s="43">
        <f>VLOOKUP(K68,Reinigungstage!A10:D31,4,FALSE)</f>
        <v>1</v>
      </c>
      <c r="M68" s="43">
        <f t="shared" si="10"/>
        <v>11.14</v>
      </c>
      <c r="N68" s="110">
        <f t="shared" si="11"/>
        <v>0</v>
      </c>
      <c r="O68" s="43">
        <f ca="1">IF('SVS GrundRG'!H61="",0,'SVS GrundRG'!H61)</f>
        <v>0</v>
      </c>
      <c r="P68" s="43">
        <f t="shared" si="12"/>
        <v>0</v>
      </c>
      <c r="Q68" s="43">
        <f t="shared" si="13"/>
        <v>0</v>
      </c>
      <c r="R68" s="43">
        <f t="shared" si="14"/>
        <v>0</v>
      </c>
      <c r="S68" s="3" t="str">
        <f t="shared" si="15"/>
        <v>Leistungswert eintragen</v>
      </c>
      <c r="U68" s="3">
        <f t="shared" si="16"/>
        <v>7</v>
      </c>
      <c r="V68" s="3">
        <f t="shared" si="17"/>
        <v>2.1</v>
      </c>
      <c r="W68" s="3">
        <f t="shared" si="18"/>
        <v>9.1</v>
      </c>
      <c r="X68" s="3" t="str">
        <f t="shared" si="19"/>
        <v/>
      </c>
    </row>
    <row r="69" spans="1:24" ht="15" customHeight="1" x14ac:dyDescent="0.2">
      <c r="A69" s="96">
        <v>48</v>
      </c>
      <c r="B69" s="107"/>
      <c r="C69" s="108" t="s">
        <v>248</v>
      </c>
      <c r="D69" s="108"/>
      <c r="E69" s="108" t="s">
        <v>250</v>
      </c>
      <c r="F69" s="108" t="s">
        <v>218</v>
      </c>
      <c r="G69" s="109">
        <v>67.599999999999994</v>
      </c>
      <c r="H69" s="109"/>
      <c r="I69" s="109"/>
      <c r="J69" s="96" t="s">
        <v>263</v>
      </c>
      <c r="K69" s="96" t="s">
        <v>143</v>
      </c>
      <c r="L69" s="43">
        <f>VLOOKUP(K69,Reinigungstage!A10:D31,4,FALSE)</f>
        <v>1</v>
      </c>
      <c r="M69" s="43">
        <f t="shared" si="10"/>
        <v>67.599999999999994</v>
      </c>
      <c r="N69" s="110">
        <f t="shared" si="11"/>
        <v>0</v>
      </c>
      <c r="O69" s="43">
        <f ca="1">IF('SVS GrundRG'!H61="",0,'SVS GrundRG'!H61)</f>
        <v>0</v>
      </c>
      <c r="P69" s="43">
        <f t="shared" si="12"/>
        <v>0</v>
      </c>
      <c r="Q69" s="43">
        <f t="shared" si="13"/>
        <v>0</v>
      </c>
      <c r="R69" s="43">
        <f t="shared" si="14"/>
        <v>0</v>
      </c>
      <c r="S69" s="3" t="str">
        <f t="shared" si="15"/>
        <v>Leistungswert eintragen</v>
      </c>
      <c r="U69" s="3">
        <f t="shared" si="16"/>
        <v>16.5</v>
      </c>
      <c r="V69" s="3">
        <f t="shared" si="17"/>
        <v>4.95</v>
      </c>
      <c r="W69" s="3">
        <f t="shared" si="18"/>
        <v>21.45</v>
      </c>
      <c r="X69" s="3" t="str">
        <f t="shared" si="19"/>
        <v/>
      </c>
    </row>
    <row r="70" spans="1:24" ht="21" x14ac:dyDescent="0.2">
      <c r="A70" s="96">
        <v>49</v>
      </c>
      <c r="B70" s="107"/>
      <c r="C70" s="108" t="s">
        <v>248</v>
      </c>
      <c r="D70" s="108" t="s">
        <v>254</v>
      </c>
      <c r="E70" s="108" t="s">
        <v>222</v>
      </c>
      <c r="F70" s="108" t="s">
        <v>220</v>
      </c>
      <c r="G70" s="109">
        <v>16.75</v>
      </c>
      <c r="H70" s="109"/>
      <c r="I70" s="109"/>
      <c r="J70" s="96" t="s">
        <v>260</v>
      </c>
      <c r="K70" s="96" t="s">
        <v>143</v>
      </c>
      <c r="L70" s="43">
        <f>VLOOKUP(K70,Reinigungstage!A10:D31,4,FALSE)</f>
        <v>1</v>
      </c>
      <c r="M70" s="43">
        <f t="shared" si="10"/>
        <v>16.75</v>
      </c>
      <c r="N70" s="110">
        <f t="shared" si="11"/>
        <v>0</v>
      </c>
      <c r="O70" s="43">
        <f ca="1">IF('SVS GrundRG'!H61="",0,'SVS GrundRG'!H61)</f>
        <v>0</v>
      </c>
      <c r="P70" s="43">
        <f t="shared" si="12"/>
        <v>0</v>
      </c>
      <c r="Q70" s="43">
        <f t="shared" si="13"/>
        <v>0</v>
      </c>
      <c r="R70" s="43">
        <f t="shared" si="14"/>
        <v>0</v>
      </c>
      <c r="S70" s="3" t="str">
        <f t="shared" si="15"/>
        <v>Leistungswert eintragen</v>
      </c>
      <c r="U70" s="3">
        <f t="shared" si="16"/>
        <v>24</v>
      </c>
      <c r="V70" s="3">
        <f t="shared" si="17"/>
        <v>7.1999999999999993</v>
      </c>
      <c r="W70" s="3">
        <f t="shared" si="18"/>
        <v>31.2</v>
      </c>
      <c r="X70" s="3" t="str">
        <f t="shared" si="19"/>
        <v/>
      </c>
    </row>
    <row r="71" spans="1:24" ht="15" customHeight="1" x14ac:dyDescent="0.2">
      <c r="A71" s="96">
        <v>50</v>
      </c>
      <c r="B71" s="107"/>
      <c r="C71" s="108" t="s">
        <v>248</v>
      </c>
      <c r="D71" s="108"/>
      <c r="E71" s="108" t="s">
        <v>217</v>
      </c>
      <c r="F71" s="108" t="s">
        <v>218</v>
      </c>
      <c r="G71" s="109">
        <v>45.45</v>
      </c>
      <c r="H71" s="109"/>
      <c r="I71" s="109"/>
      <c r="J71" s="96" t="s">
        <v>258</v>
      </c>
      <c r="K71" s="96" t="s">
        <v>143</v>
      </c>
      <c r="L71" s="43">
        <f>VLOOKUP(K71,Reinigungstage!A10:D31,4,FALSE)</f>
        <v>1</v>
      </c>
      <c r="M71" s="43">
        <f t="shared" si="10"/>
        <v>45.45</v>
      </c>
      <c r="N71" s="110">
        <f t="shared" si="11"/>
        <v>0</v>
      </c>
      <c r="O71" s="43">
        <f ca="1">IF('SVS GrundRG'!H61="",0,'SVS GrundRG'!H61)</f>
        <v>0</v>
      </c>
      <c r="P71" s="43">
        <f t="shared" si="12"/>
        <v>0</v>
      </c>
      <c r="Q71" s="43">
        <f t="shared" si="13"/>
        <v>0</v>
      </c>
      <c r="R71" s="43">
        <f t="shared" si="14"/>
        <v>0</v>
      </c>
      <c r="S71" s="3" t="str">
        <f t="shared" si="15"/>
        <v>Leistungswert eintragen</v>
      </c>
      <c r="U71" s="3">
        <f t="shared" si="16"/>
        <v>14</v>
      </c>
      <c r="V71" s="3">
        <f t="shared" si="17"/>
        <v>4.2</v>
      </c>
      <c r="W71" s="3">
        <f t="shared" si="18"/>
        <v>18.2</v>
      </c>
      <c r="X71" s="3" t="str">
        <f t="shared" si="19"/>
        <v/>
      </c>
    </row>
    <row r="72" spans="1:24" ht="15" customHeight="1" x14ac:dyDescent="0.2">
      <c r="A72" s="96">
        <v>51</v>
      </c>
      <c r="B72" s="107"/>
      <c r="C72" s="108" t="s">
        <v>248</v>
      </c>
      <c r="D72" s="108"/>
      <c r="E72" s="108" t="s">
        <v>217</v>
      </c>
      <c r="F72" s="108" t="s">
        <v>218</v>
      </c>
      <c r="G72" s="109">
        <v>32.1</v>
      </c>
      <c r="H72" s="109"/>
      <c r="I72" s="109"/>
      <c r="J72" s="96" t="s">
        <v>258</v>
      </c>
      <c r="K72" s="96" t="s">
        <v>143</v>
      </c>
      <c r="L72" s="43">
        <f>VLOOKUP(K72,Reinigungstage!A10:D31,4,FALSE)</f>
        <v>1</v>
      </c>
      <c r="M72" s="43">
        <f t="shared" si="10"/>
        <v>32.1</v>
      </c>
      <c r="N72" s="110">
        <f t="shared" si="11"/>
        <v>0</v>
      </c>
      <c r="O72" s="43">
        <f ca="1">IF('SVS GrundRG'!H61="",0,'SVS GrundRG'!H61)</f>
        <v>0</v>
      </c>
      <c r="P72" s="43">
        <f t="shared" si="12"/>
        <v>0</v>
      </c>
      <c r="Q72" s="43">
        <f t="shared" si="13"/>
        <v>0</v>
      </c>
      <c r="R72" s="43">
        <f t="shared" si="14"/>
        <v>0</v>
      </c>
      <c r="S72" s="3" t="str">
        <f t="shared" si="15"/>
        <v>Leistungswert eintragen</v>
      </c>
      <c r="U72" s="3">
        <f t="shared" si="16"/>
        <v>14</v>
      </c>
      <c r="V72" s="3">
        <f t="shared" si="17"/>
        <v>4.2</v>
      </c>
      <c r="W72" s="3">
        <f t="shared" si="18"/>
        <v>18.2</v>
      </c>
      <c r="X72" s="3" t="str">
        <f t="shared" si="19"/>
        <v/>
      </c>
    </row>
    <row r="73" spans="1:24" ht="15" customHeight="1" x14ac:dyDescent="0.2">
      <c r="A73" s="96">
        <v>52</v>
      </c>
      <c r="B73" s="107"/>
      <c r="C73" s="108" t="s">
        <v>248</v>
      </c>
      <c r="D73" s="108"/>
      <c r="E73" s="108" t="s">
        <v>227</v>
      </c>
      <c r="F73" s="108" t="s">
        <v>220</v>
      </c>
      <c r="G73" s="109">
        <v>11.33</v>
      </c>
      <c r="H73" s="109"/>
      <c r="I73" s="109"/>
      <c r="J73" s="96" t="s">
        <v>259</v>
      </c>
      <c r="K73" s="96" t="s">
        <v>143</v>
      </c>
      <c r="L73" s="43">
        <f>VLOOKUP(K73,Reinigungstage!A10:D31,4,FALSE)</f>
        <v>1</v>
      </c>
      <c r="M73" s="43">
        <f t="shared" si="10"/>
        <v>11.33</v>
      </c>
      <c r="N73" s="110">
        <f t="shared" si="11"/>
        <v>0</v>
      </c>
      <c r="O73" s="43">
        <f ca="1">IF('SVS GrundRG'!H61="",0,'SVS GrundRG'!H61)</f>
        <v>0</v>
      </c>
      <c r="P73" s="43">
        <f t="shared" si="12"/>
        <v>0</v>
      </c>
      <c r="Q73" s="43">
        <f t="shared" si="13"/>
        <v>0</v>
      </c>
      <c r="R73" s="43">
        <f t="shared" si="14"/>
        <v>0</v>
      </c>
      <c r="S73" s="3" t="str">
        <f t="shared" si="15"/>
        <v>Leistungswert eintragen</v>
      </c>
      <c r="U73" s="3">
        <f t="shared" si="16"/>
        <v>7</v>
      </c>
      <c r="V73" s="3">
        <f t="shared" si="17"/>
        <v>2.1</v>
      </c>
      <c r="W73" s="3">
        <f t="shared" si="18"/>
        <v>9.1</v>
      </c>
      <c r="X73" s="3" t="str">
        <f t="shared" si="19"/>
        <v/>
      </c>
    </row>
    <row r="74" spans="1:24" ht="15" customHeight="1" x14ac:dyDescent="0.2">
      <c r="A74" s="96">
        <v>53</v>
      </c>
      <c r="B74" s="107"/>
      <c r="C74" s="108" t="s">
        <v>248</v>
      </c>
      <c r="D74" s="108" t="s">
        <v>255</v>
      </c>
      <c r="E74" s="108" t="s">
        <v>217</v>
      </c>
      <c r="F74" s="108" t="s">
        <v>218</v>
      </c>
      <c r="G74" s="109">
        <v>25.22</v>
      </c>
      <c r="H74" s="109"/>
      <c r="I74" s="109"/>
      <c r="J74" s="96" t="s">
        <v>258</v>
      </c>
      <c r="K74" s="96" t="s">
        <v>143</v>
      </c>
      <c r="L74" s="43">
        <f>VLOOKUP(K74,Reinigungstage!A10:D31,4,FALSE)</f>
        <v>1</v>
      </c>
      <c r="M74" s="43">
        <f t="shared" si="10"/>
        <v>25.22</v>
      </c>
      <c r="N74" s="110">
        <f t="shared" si="11"/>
        <v>0</v>
      </c>
      <c r="O74" s="43">
        <f ca="1">IF('SVS GrundRG'!H61="",0,'SVS GrundRG'!H61)</f>
        <v>0</v>
      </c>
      <c r="P74" s="43">
        <f t="shared" si="12"/>
        <v>0</v>
      </c>
      <c r="Q74" s="43">
        <f t="shared" si="13"/>
        <v>0</v>
      </c>
      <c r="R74" s="43">
        <f t="shared" si="14"/>
        <v>0</v>
      </c>
      <c r="S74" s="3" t="str">
        <f t="shared" si="15"/>
        <v>Leistungswert eintragen</v>
      </c>
      <c r="U74" s="3">
        <f t="shared" si="16"/>
        <v>14</v>
      </c>
      <c r="V74" s="3">
        <f t="shared" si="17"/>
        <v>4.2</v>
      </c>
      <c r="W74" s="3">
        <f t="shared" si="18"/>
        <v>18.2</v>
      </c>
      <c r="X74" s="3" t="str">
        <f t="shared" si="19"/>
        <v/>
      </c>
    </row>
    <row r="75" spans="1:24" ht="15" customHeight="1" x14ac:dyDescent="0.2">
      <c r="A75" s="96">
        <v>54</v>
      </c>
      <c r="B75" s="107"/>
      <c r="C75" s="108" t="s">
        <v>248</v>
      </c>
      <c r="D75" s="108" t="s">
        <v>255</v>
      </c>
      <c r="E75" s="108" t="s">
        <v>217</v>
      </c>
      <c r="F75" s="108" t="s">
        <v>218</v>
      </c>
      <c r="G75" s="109">
        <v>20.12</v>
      </c>
      <c r="H75" s="109"/>
      <c r="I75" s="109"/>
      <c r="J75" s="96" t="s">
        <v>258</v>
      </c>
      <c r="K75" s="96" t="s">
        <v>143</v>
      </c>
      <c r="L75" s="43">
        <f>VLOOKUP(K75,Reinigungstage!A10:D31,4,FALSE)</f>
        <v>1</v>
      </c>
      <c r="M75" s="43">
        <f t="shared" si="10"/>
        <v>20.12</v>
      </c>
      <c r="N75" s="110">
        <f t="shared" si="11"/>
        <v>0</v>
      </c>
      <c r="O75" s="43">
        <f ca="1">IF('SVS GrundRG'!H61="",0,'SVS GrundRG'!H61)</f>
        <v>0</v>
      </c>
      <c r="P75" s="43">
        <f t="shared" si="12"/>
        <v>0</v>
      </c>
      <c r="Q75" s="43">
        <f t="shared" si="13"/>
        <v>0</v>
      </c>
      <c r="R75" s="43">
        <f t="shared" si="14"/>
        <v>0</v>
      </c>
      <c r="S75" s="3" t="str">
        <f t="shared" si="15"/>
        <v>Leistungswert eintragen</v>
      </c>
      <c r="U75" s="3">
        <f t="shared" si="16"/>
        <v>14</v>
      </c>
      <c r="V75" s="3">
        <f t="shared" si="17"/>
        <v>4.2</v>
      </c>
      <c r="W75" s="3">
        <f t="shared" si="18"/>
        <v>18.2</v>
      </c>
      <c r="X75" s="3" t="str">
        <f t="shared" si="19"/>
        <v/>
      </c>
    </row>
  </sheetData>
  <sheetProtection algorithmName="SHA-512" hashValue="bEtXWEnWOl8ekU6vqIzJREG1JeVcAk0zs8ucsNHr4RqlMo0ma3lnGwvsGcpThLq271c7ARnSAlf8KWPOdPbe3Q==" saltValue="ZcJMiTntTrsY4XCEvC7cbA=="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14"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13" priority="5" operator="containsText" text="Bitte prüfen Sie diese.">
      <formula>NOT(ISERROR(SEARCH("Bitte prüfen Sie diese.",L9)))</formula>
    </cfRule>
  </conditionalFormatting>
  <conditionalFormatting sqref="L10">
    <cfRule type="containsText" dxfId="112"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11" priority="3" operator="containsText" text="lediglich Fehleingaben vermeiden wollen.">
      <formula>NOT(ISERROR(SEARCH("lediglich Fehleingaben vermeiden wollen.",L11)))</formula>
    </cfRule>
  </conditionalFormatting>
  <conditionalFormatting sqref="M11">
    <cfRule type="containsText" dxfId="110"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9" priority="7" operator="containsText" text="für die Objektart prüfen.">
      <formula>NOT(ISERROR(SEARCH("für die Objektart prüfen.",M12)))</formula>
    </cfRule>
  </conditionalFormatting>
  <conditionalFormatting sqref="N13">
    <cfRule type="expression" dxfId="108" priority="2" stopIfTrue="1">
      <formula>N13=0</formula>
    </cfRule>
  </conditionalFormatting>
  <conditionalFormatting sqref="N14">
    <cfRule type="expression" dxfId="107" priority="1">
      <formula>N14=0</formula>
    </cfRule>
  </conditionalFormatting>
  <conditionalFormatting sqref="N22:N75">
    <cfRule type="expression" dxfId="106" priority="11">
      <formula>X22=0</formula>
    </cfRule>
    <cfRule type="expression" dxfId="105" priority="12" stopIfTrue="1">
      <formula>X22=1</formula>
    </cfRule>
  </conditionalFormatting>
  <conditionalFormatting sqref="O13">
    <cfRule type="containsText" dxfId="104"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03" priority="9" operator="containsText" text="Wert(e) prüfen.">
      <formula>NOT(ISERROR(SEARCH("Wert(e) prüfen.",O14)))</formula>
    </cfRule>
  </conditionalFormatting>
  <conditionalFormatting sqref="S22:S75">
    <cfRule type="containsText" dxfId="102" priority="13" stopIfTrue="1" operator="containsText" text="SVS prüfen">
      <formula>NOT(ISERROR(SEARCH("SVS prüfen",S22)))</formula>
    </cfRule>
    <cfRule type="containsText" dxfId="101" priority="14" stopIfTrue="1" operator="containsText" text="Leistungswert eintragen">
      <formula>NOT(ISERROR(SEARCH("Leistungswert eintragen",S22)))</formula>
    </cfRule>
  </conditionalFormatting>
  <hyperlinks>
    <hyperlink ref="M1" location="Inhaltsverzeichnis!A1" display="Zurück zum Inhaltsverzeichnis" xr:uid="{DD9BB36D-207C-45D5-90E8-A9598B60FDB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Grund GS Pannwitz</oddFooter>
  </headerFooter>
  <rowBreaks count="1" manualBreakCount="1">
    <brk id="75" max="16383"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E73F-A4A4-4423-B774-63D923089AD9}">
  <sheetPr codeName="Tabelle23">
    <tabColor indexed="40"/>
  </sheetPr>
  <dimension ref="A1:V78"/>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7" t="s">
        <v>151</v>
      </c>
      <c r="B2" s="158"/>
      <c r="C2" s="158"/>
      <c r="D2" s="158" t="b">
        <v>0</v>
      </c>
      <c r="E2" s="159"/>
      <c r="G2" s="160" t="s">
        <v>164</v>
      </c>
      <c r="H2" s="160" t="s">
        <v>156</v>
      </c>
      <c r="I2" s="160" t="s">
        <v>157</v>
      </c>
      <c r="J2" s="160" t="s">
        <v>176</v>
      </c>
      <c r="M2" s="21"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1" customHeight="1" x14ac:dyDescent="0.2">
      <c r="A3" s="93" t="s">
        <v>209</v>
      </c>
      <c r="B3" s="94"/>
      <c r="C3" s="94"/>
      <c r="D3" s="94"/>
      <c r="E3" s="95"/>
      <c r="G3" s="161"/>
      <c r="H3" s="161" t="b">
        <v>0</v>
      </c>
      <c r="I3" s="161"/>
      <c r="J3" s="161"/>
      <c r="M3" s="21" t="b">
        <v>0</v>
      </c>
      <c r="N3" s="132"/>
      <c r="O3" s="132"/>
      <c r="P3" s="132"/>
      <c r="Q3" s="132"/>
    </row>
    <row r="4" spans="1:22" ht="15" customHeight="1" x14ac:dyDescent="0.2">
      <c r="A4" s="155" t="s">
        <v>91</v>
      </c>
      <c r="B4" s="165" t="str">
        <f>IF(Inhaltsverzeichnis!C3="","",Inhaltsverzeichnis!C3)</f>
        <v/>
      </c>
      <c r="C4" s="166"/>
      <c r="D4" s="166"/>
      <c r="E4" s="167"/>
      <c r="G4" s="96" t="s">
        <v>237</v>
      </c>
      <c r="H4" s="97"/>
      <c r="I4" s="98">
        <f ca="1">SUMIF('Kal Unter Bed GS Pannwitz'!J22:M78,$G$4,'Kal Unter Bed GS Pannwitz'!M22:M78)</f>
        <v>185.78</v>
      </c>
      <c r="J4" s="69">
        <f>COUNTIFS('Kal Unter Bed GS Pannwitz'!J22:M78,$G$4)</f>
        <v>3</v>
      </c>
      <c r="M4" s="21" t="b">
        <v>0</v>
      </c>
      <c r="N4" s="132"/>
      <c r="O4" s="132"/>
      <c r="P4" s="132"/>
      <c r="Q4" s="132"/>
      <c r="U4" s="96" t="s">
        <v>237</v>
      </c>
      <c r="V4" s="3">
        <v>195</v>
      </c>
    </row>
    <row r="5" spans="1:22" ht="15" customHeight="1" x14ac:dyDescent="0.2">
      <c r="A5" s="156"/>
      <c r="B5" s="168"/>
      <c r="C5" s="169"/>
      <c r="D5" s="169"/>
      <c r="E5" s="170"/>
      <c r="G5" s="96" t="s">
        <v>261</v>
      </c>
      <c r="H5" s="97"/>
      <c r="I5" s="98">
        <f ca="1">SUMIF('Kal Unter Bed GS Pannwitz'!J22:M78,$G$5,'Kal Unter Bed GS Pannwitz'!M22:M78)</f>
        <v>239.26000000000002</v>
      </c>
      <c r="J5" s="69">
        <f>COUNTIFS('Kal Unter Bed GS Pannwitz'!J22:M78,$G$5)</f>
        <v>4</v>
      </c>
      <c r="M5" s="21" t="b">
        <v>0</v>
      </c>
      <c r="N5" s="132"/>
      <c r="O5" s="132"/>
      <c r="P5" s="132"/>
      <c r="Q5" s="132"/>
      <c r="U5" s="96" t="s">
        <v>261</v>
      </c>
      <c r="V5" s="3">
        <v>215</v>
      </c>
    </row>
    <row r="6" spans="1:22" ht="15" customHeight="1" x14ac:dyDescent="0.2">
      <c r="A6" s="99" t="s">
        <v>174</v>
      </c>
      <c r="B6" s="171" t="s">
        <v>201</v>
      </c>
      <c r="C6" s="172"/>
      <c r="D6" s="172"/>
      <c r="E6" s="173"/>
      <c r="G6" s="96" t="s">
        <v>259</v>
      </c>
      <c r="H6" s="97"/>
      <c r="I6" s="98">
        <f ca="1">SUMIF('Kal Unter Bed GS Pannwitz'!J22:M78,$G$6,'Kal Unter Bed GS Pannwitz'!M22:M78)</f>
        <v>157.66</v>
      </c>
      <c r="J6" s="69">
        <f>COUNTIFS('Kal Unter Bed GS Pannwitz'!J22:M78,$G$6)</f>
        <v>8</v>
      </c>
      <c r="U6" s="96" t="s">
        <v>259</v>
      </c>
      <c r="V6" s="3">
        <v>75</v>
      </c>
    </row>
    <row r="7" spans="1:22" ht="15" customHeight="1" x14ac:dyDescent="0.2">
      <c r="A7" s="100" t="s">
        <v>172</v>
      </c>
      <c r="B7" s="174" t="s">
        <v>202</v>
      </c>
      <c r="C7" s="172"/>
      <c r="D7" s="172"/>
      <c r="E7" s="173"/>
      <c r="G7" s="96" t="s">
        <v>262</v>
      </c>
      <c r="H7" s="97"/>
      <c r="I7" s="98">
        <f ca="1">SUMIF('Kal Unter Bed GS Pannwitz'!J22:M78,$G$7,'Kal Unter Bed GS Pannwitz'!M22:M78)</f>
        <v>90.94</v>
      </c>
      <c r="J7" s="69">
        <f>COUNTIFS('Kal Unter Bed GS Pannwitz'!J22:M78,$G$7)</f>
        <v>3</v>
      </c>
      <c r="U7" s="96" t="s">
        <v>262</v>
      </c>
      <c r="V7" s="3">
        <v>300</v>
      </c>
    </row>
    <row r="8" spans="1:22" ht="15" customHeight="1" x14ac:dyDescent="0.2">
      <c r="A8" s="100" t="s">
        <v>173</v>
      </c>
      <c r="B8" s="171" t="s">
        <v>203</v>
      </c>
      <c r="C8" s="172"/>
      <c r="D8" s="172"/>
      <c r="E8" s="173"/>
      <c r="G8" s="96" t="s">
        <v>223</v>
      </c>
      <c r="H8" s="97"/>
      <c r="I8" s="98">
        <f ca="1">SUMIF('Kal Unter Bed GS Pannwitz'!J22:M78,$G$8,'Kal Unter Bed GS Pannwitz'!M22:M78)</f>
        <v>260.89999999999998</v>
      </c>
      <c r="J8" s="69">
        <f>COUNTIFS('Kal Unter Bed GS Pannwitz'!J22:M78,$G$8)</f>
        <v>12</v>
      </c>
      <c r="U8" s="96" t="s">
        <v>223</v>
      </c>
      <c r="V8" s="3">
        <v>165</v>
      </c>
    </row>
    <row r="9" spans="1:22" ht="15" customHeight="1" x14ac:dyDescent="0.2">
      <c r="A9" s="99" t="s">
        <v>171</v>
      </c>
      <c r="B9" s="175" t="s">
        <v>200</v>
      </c>
      <c r="C9" s="172"/>
      <c r="D9" s="172"/>
      <c r="E9" s="173"/>
      <c r="G9" s="96" t="s">
        <v>258</v>
      </c>
      <c r="H9" s="97"/>
      <c r="I9" s="98">
        <f ca="1">SUMIF('Kal Unter Bed GS Pannwitz'!J22:M78,$G$9,'Kal Unter Bed GS Pannwitz'!M22:M78)</f>
        <v>1561.6600000000003</v>
      </c>
      <c r="J9" s="69">
        <f>COUNTIFS('Kal Unter Bed GS Pannwitz'!J22:M78,$G$9)</f>
        <v>19</v>
      </c>
      <c r="U9" s="96" t="s">
        <v>258</v>
      </c>
      <c r="V9" s="3">
        <v>240</v>
      </c>
    </row>
    <row r="10" spans="1:22" ht="15" customHeight="1" x14ac:dyDescent="0.2">
      <c r="A10" s="100" t="s">
        <v>153</v>
      </c>
      <c r="B10" s="171" t="s">
        <v>204</v>
      </c>
      <c r="C10" s="172"/>
      <c r="D10" s="172"/>
      <c r="E10" s="173"/>
      <c r="G10" s="96" t="s">
        <v>260</v>
      </c>
      <c r="H10" s="97"/>
      <c r="I10" s="98">
        <f ca="1">SUMIF('Kal Unter Bed GS Pannwitz'!J22:M78,$G$10,'Kal Unter Bed GS Pannwitz'!M22:M78)</f>
        <v>652.08000000000004</v>
      </c>
      <c r="J10" s="69">
        <f>COUNTIFS('Kal Unter Bed GS Pannwitz'!J22:M78,$G$10)</f>
        <v>7</v>
      </c>
      <c r="U10" s="96" t="s">
        <v>260</v>
      </c>
      <c r="V10" s="3">
        <v>450</v>
      </c>
    </row>
    <row r="11" spans="1:22" ht="15" customHeight="1" x14ac:dyDescent="0.2">
      <c r="A11" s="100" t="s">
        <v>154</v>
      </c>
      <c r="B11" s="176" t="s">
        <v>205</v>
      </c>
      <c r="C11" s="172"/>
      <c r="D11" s="172"/>
      <c r="E11" s="173"/>
      <c r="G11" s="96" t="s">
        <v>263</v>
      </c>
      <c r="H11" s="97"/>
      <c r="I11" s="98">
        <f ca="1">SUMIF('Kal Unter Bed GS Pannwitz'!J22:M78,$G$11,'Kal Unter Bed GS Pannwitz'!M22:M78)</f>
        <v>135.19999999999999</v>
      </c>
      <c r="J11" s="69">
        <f>COUNTIFS('Kal Unter Bed GS Pannwitz'!J22:M78,$G$11)</f>
        <v>1</v>
      </c>
      <c r="M11" s="3" t="str">
        <f>IF(N13&gt;0,"Bitte die Leistungswerte im Leistungsverzeichnis/ Tabellenblatt Leistungsrichtwerte","")</f>
        <v/>
      </c>
      <c r="U11" s="96" t="s">
        <v>263</v>
      </c>
      <c r="V11" s="3">
        <v>115</v>
      </c>
    </row>
    <row r="12" spans="1:22" ht="15" customHeight="1" x14ac:dyDescent="0.2">
      <c r="A12" s="100" t="s">
        <v>155</v>
      </c>
      <c r="B12" s="171" t="s">
        <v>206</v>
      </c>
      <c r="C12" s="172"/>
      <c r="D12" s="172"/>
      <c r="E12" s="173"/>
      <c r="M12" s="3" t="str">
        <f>IF(N13&gt;0,"für die Objektart prüfen.","")</f>
        <v/>
      </c>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c r="N13" s="101">
        <f>COUNTIF(V22:V$78,1)</f>
        <v>0</v>
      </c>
      <c r="O13" s="3" t="str">
        <f>IF(N13&gt;0,"Wert(e) überschritten, bitte mit dem Angebot plausibel darlegen.","")</f>
        <v/>
      </c>
    </row>
    <row r="14" spans="1:22" ht="15" customHeight="1" x14ac:dyDescent="0.2">
      <c r="N14" s="102">
        <f>COUNTIF(V22:V$78,0)</f>
        <v>57</v>
      </c>
      <c r="O14" s="3" t="str">
        <f>IF(N14&gt;0,"Wert(e) korrekt","")</f>
        <v>Wert(e) korrekt</v>
      </c>
      <c r="T14" s="103">
        <f>IF(COUNTA($T$22:$T$78)-COUNTBLANK($T$22:$T$78)=0,"",COUNTA($T$22:$T$78)-COUNTBLANK($T$22:$T$78))</f>
        <v>57</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114</v>
      </c>
      <c r="H20" s="1" t="s">
        <v>106</v>
      </c>
      <c r="I20" s="1" t="s">
        <v>107</v>
      </c>
      <c r="J20" s="1" t="s">
        <v>99</v>
      </c>
      <c r="K20" s="1" t="s">
        <v>104</v>
      </c>
      <c r="L20" s="1" t="s">
        <v>135</v>
      </c>
      <c r="M20" s="1" t="s">
        <v>109</v>
      </c>
      <c r="N20" s="1" t="s">
        <v>105</v>
      </c>
      <c r="O20" s="1" t="s">
        <v>110</v>
      </c>
      <c r="P20" s="1" t="s">
        <v>111</v>
      </c>
      <c r="Q20" s="1" t="s">
        <v>112</v>
      </c>
      <c r="R20" s="1" t="s">
        <v>175</v>
      </c>
      <c r="S20" s="1" t="s">
        <v>134</v>
      </c>
    </row>
    <row r="21" spans="1:22" ht="29.1" customHeight="1" x14ac:dyDescent="0.2">
      <c r="A21" s="104" t="s">
        <v>119</v>
      </c>
      <c r="B21" s="12"/>
      <c r="C21" s="12"/>
      <c r="D21" s="12"/>
      <c r="E21" s="12"/>
      <c r="F21" s="12"/>
      <c r="G21" s="105">
        <f>SUM($G$22:$G$78)</f>
        <v>1641.74</v>
      </c>
      <c r="H21" s="105">
        <f>SUM($H$22:$H$78)</f>
        <v>0</v>
      </c>
      <c r="I21" s="105">
        <f>SUM($I$22:$I$78)</f>
        <v>0</v>
      </c>
      <c r="J21" s="43"/>
      <c r="K21" s="43"/>
      <c r="L21" s="106">
        <f>MAX(L22:L78)</f>
        <v>2</v>
      </c>
      <c r="M21" s="105">
        <f>SUM($M$22:$M$78)</f>
        <v>3283.48</v>
      </c>
      <c r="N21" s="43"/>
      <c r="O21" s="43"/>
      <c r="P21" s="105">
        <f>SUM($P$22:$P$78)</f>
        <v>0</v>
      </c>
      <c r="Q21" s="105">
        <f ca="1">SUM($Q$22:$Q$78)</f>
        <v>0</v>
      </c>
      <c r="R21" s="105">
        <f>ROUND(IF(L21=0,0,P21/L21),2)</f>
        <v>0</v>
      </c>
      <c r="S21" s="105">
        <f ca="1">ROUND(IF(L21=0,0,Q21/L21),2)</f>
        <v>0</v>
      </c>
    </row>
    <row r="22" spans="1:22" ht="15" customHeight="1" x14ac:dyDescent="0.2">
      <c r="A22" s="96">
        <v>1</v>
      </c>
      <c r="B22" s="107"/>
      <c r="C22" s="108" t="s">
        <v>216</v>
      </c>
      <c r="D22" s="108"/>
      <c r="E22" s="108" t="s">
        <v>217</v>
      </c>
      <c r="F22" s="108" t="s">
        <v>218</v>
      </c>
      <c r="G22" s="109">
        <v>21.16</v>
      </c>
      <c r="H22" s="109"/>
      <c r="I22" s="109"/>
      <c r="J22" s="96" t="s">
        <v>258</v>
      </c>
      <c r="K22" s="96" t="s">
        <v>146</v>
      </c>
      <c r="L22" s="43">
        <f>VLOOKUP(K22,Reinigungstage!A10:F31,6,FALSE)</f>
        <v>2</v>
      </c>
      <c r="M22" s="43">
        <f t="shared" ref="M22:M53" si="0">ROUND(IF(L22=0,0,L22*G22),2)</f>
        <v>42.32</v>
      </c>
      <c r="N22" s="110">
        <f t="shared" ref="N22:N53" si="1">VLOOKUP(J22,$G$4:$H$11,2,FALSE)</f>
        <v>0</v>
      </c>
      <c r="O22" s="43">
        <f ca="1">IF('SVS UnterhaltsRG'!H61="",0,'SVS UnterhaltsRG'!H61)</f>
        <v>0</v>
      </c>
      <c r="P22" s="43">
        <f t="shared" ref="P22:P53" si="2">ROUND(IF(N22=0,0,M22/N22),2)</f>
        <v>0</v>
      </c>
      <c r="Q22" s="43">
        <f t="shared" ref="Q22:Q53" ca="1" si="3">IF(M22=0,0,IF(O22="",0,ROUND(P22*O22,2)))</f>
        <v>0</v>
      </c>
      <c r="R22" s="43">
        <f t="shared" ref="R22:R53" si="4">ROUND(IF(P22=0,0,P22/L22),2)</f>
        <v>0</v>
      </c>
      <c r="S22" s="43">
        <f t="shared" ref="S22:S53" ca="1" si="5">ROUND(IF(Q22=0,0,Q22/L22),2)</f>
        <v>0</v>
      </c>
      <c r="T22" s="3" t="str">
        <f t="shared" ref="T22:T53" si="6">IF(M22=0,"",IF(N22=0,"Leistungswert eintragen",IF(O22=0,"SVS prüfen","")))</f>
        <v>Leistungswert eintragen</v>
      </c>
      <c r="U22" s="3">
        <f t="shared" ref="U22:U53" si="7">VLOOKUP(J22,$U$4:$V$11,2,FALSE)</f>
        <v>240</v>
      </c>
      <c r="V22" s="3">
        <f t="shared" ref="V22:V53" si="8">IF(M22=0,0,IF(U22&lt;N22,1,IF(U22&gt;=N22,0,"")))</f>
        <v>0</v>
      </c>
    </row>
    <row r="23" spans="1:22" ht="15" customHeight="1" x14ac:dyDescent="0.2">
      <c r="A23" s="96">
        <v>2</v>
      </c>
      <c r="B23" s="107"/>
      <c r="C23" s="108" t="s">
        <v>216</v>
      </c>
      <c r="D23" s="108"/>
      <c r="E23" s="108" t="s">
        <v>219</v>
      </c>
      <c r="F23" s="108" t="s">
        <v>220</v>
      </c>
      <c r="G23" s="109">
        <v>7.44</v>
      </c>
      <c r="H23" s="109"/>
      <c r="I23" s="109"/>
      <c r="J23" s="96" t="s">
        <v>259</v>
      </c>
      <c r="K23" s="96" t="s">
        <v>146</v>
      </c>
      <c r="L23" s="43">
        <f>VLOOKUP(K23,Reinigungstage!A10:F31,6,FALSE)</f>
        <v>2</v>
      </c>
      <c r="M23" s="43">
        <f t="shared" si="0"/>
        <v>14.88</v>
      </c>
      <c r="N23" s="110">
        <f t="shared" si="1"/>
        <v>0</v>
      </c>
      <c r="O23" s="43">
        <f ca="1">IF('SVS UnterhaltsRG'!H61="",0,'SVS UnterhaltsRG'!H61)</f>
        <v>0</v>
      </c>
      <c r="P23" s="43">
        <f t="shared" si="2"/>
        <v>0</v>
      </c>
      <c r="Q23" s="43">
        <f t="shared" ca="1" si="3"/>
        <v>0</v>
      </c>
      <c r="R23" s="43">
        <f t="shared" si="4"/>
        <v>0</v>
      </c>
      <c r="S23" s="43">
        <f t="shared" ca="1" si="5"/>
        <v>0</v>
      </c>
      <c r="T23" s="3" t="str">
        <f t="shared" si="6"/>
        <v>Leistungswert eintragen</v>
      </c>
      <c r="U23" s="3">
        <f t="shared" si="7"/>
        <v>75</v>
      </c>
      <c r="V23" s="3">
        <f t="shared" si="8"/>
        <v>0</v>
      </c>
    </row>
    <row r="24" spans="1:22" ht="15" customHeight="1" x14ac:dyDescent="0.2">
      <c r="A24" s="96">
        <v>3</v>
      </c>
      <c r="B24" s="107"/>
      <c r="C24" s="108" t="s">
        <v>216</v>
      </c>
      <c r="D24" s="108"/>
      <c r="E24" s="108" t="s">
        <v>221</v>
      </c>
      <c r="F24" s="108" t="s">
        <v>220</v>
      </c>
      <c r="G24" s="109">
        <v>4.5</v>
      </c>
      <c r="H24" s="109"/>
      <c r="I24" s="109"/>
      <c r="J24" s="96" t="s">
        <v>259</v>
      </c>
      <c r="K24" s="96" t="s">
        <v>146</v>
      </c>
      <c r="L24" s="43">
        <f>VLOOKUP(K24,Reinigungstage!A10:F31,6,FALSE)</f>
        <v>2</v>
      </c>
      <c r="M24" s="43">
        <f t="shared" si="0"/>
        <v>9</v>
      </c>
      <c r="N24" s="110">
        <f t="shared" si="1"/>
        <v>0</v>
      </c>
      <c r="O24" s="43">
        <f ca="1">IF('SVS UnterhaltsRG'!H61="",0,'SVS UnterhaltsRG'!H61)</f>
        <v>0</v>
      </c>
      <c r="P24" s="43">
        <f t="shared" si="2"/>
        <v>0</v>
      </c>
      <c r="Q24" s="43">
        <f t="shared" ca="1" si="3"/>
        <v>0</v>
      </c>
      <c r="R24" s="43">
        <f t="shared" si="4"/>
        <v>0</v>
      </c>
      <c r="S24" s="43">
        <f t="shared" ca="1" si="5"/>
        <v>0</v>
      </c>
      <c r="T24" s="3" t="str">
        <f t="shared" si="6"/>
        <v>Leistungswert eintragen</v>
      </c>
      <c r="U24" s="3">
        <f t="shared" si="7"/>
        <v>75</v>
      </c>
      <c r="V24" s="3">
        <f t="shared" si="8"/>
        <v>0</v>
      </c>
    </row>
    <row r="25" spans="1:22" ht="15" customHeight="1" x14ac:dyDescent="0.2">
      <c r="A25" s="96">
        <v>4</v>
      </c>
      <c r="B25" s="107"/>
      <c r="C25" s="108" t="s">
        <v>216</v>
      </c>
      <c r="D25" s="108"/>
      <c r="E25" s="108" t="s">
        <v>217</v>
      </c>
      <c r="F25" s="108" t="s">
        <v>218</v>
      </c>
      <c r="G25" s="109">
        <v>26.76</v>
      </c>
      <c r="H25" s="109"/>
      <c r="I25" s="109"/>
      <c r="J25" s="96" t="s">
        <v>258</v>
      </c>
      <c r="K25" s="96" t="s">
        <v>146</v>
      </c>
      <c r="L25" s="43">
        <f>VLOOKUP(K25,Reinigungstage!A10:F31,6,FALSE)</f>
        <v>2</v>
      </c>
      <c r="M25" s="43">
        <f t="shared" si="0"/>
        <v>53.52</v>
      </c>
      <c r="N25" s="110">
        <f t="shared" si="1"/>
        <v>0</v>
      </c>
      <c r="O25" s="43">
        <f ca="1">IF('SVS UnterhaltsRG'!H61="",0,'SVS UnterhaltsRG'!H61)</f>
        <v>0</v>
      </c>
      <c r="P25" s="43">
        <f t="shared" si="2"/>
        <v>0</v>
      </c>
      <c r="Q25" s="43">
        <f t="shared" ca="1" si="3"/>
        <v>0</v>
      </c>
      <c r="R25" s="43">
        <f t="shared" si="4"/>
        <v>0</v>
      </c>
      <c r="S25" s="43">
        <f t="shared" ca="1" si="5"/>
        <v>0</v>
      </c>
      <c r="T25" s="3" t="str">
        <f t="shared" si="6"/>
        <v>Leistungswert eintragen</v>
      </c>
      <c r="U25" s="3">
        <f t="shared" si="7"/>
        <v>240</v>
      </c>
      <c r="V25" s="3">
        <f t="shared" si="8"/>
        <v>0</v>
      </c>
    </row>
    <row r="26" spans="1:22" ht="15" customHeight="1" x14ac:dyDescent="0.2">
      <c r="A26" s="96">
        <v>5</v>
      </c>
      <c r="B26" s="107"/>
      <c r="C26" s="108" t="s">
        <v>216</v>
      </c>
      <c r="D26" s="108"/>
      <c r="E26" s="108" t="s">
        <v>217</v>
      </c>
      <c r="F26" s="108" t="s">
        <v>218</v>
      </c>
      <c r="G26" s="109">
        <v>45.95</v>
      </c>
      <c r="H26" s="109"/>
      <c r="I26" s="109"/>
      <c r="J26" s="96" t="s">
        <v>258</v>
      </c>
      <c r="K26" s="96" t="s">
        <v>146</v>
      </c>
      <c r="L26" s="43">
        <f>VLOOKUP(K26,Reinigungstage!A10:F31,6,FALSE)</f>
        <v>2</v>
      </c>
      <c r="M26" s="43">
        <f t="shared" si="0"/>
        <v>91.9</v>
      </c>
      <c r="N26" s="110">
        <f t="shared" si="1"/>
        <v>0</v>
      </c>
      <c r="O26" s="43">
        <f ca="1">IF('SVS UnterhaltsRG'!H61="",0,'SVS UnterhaltsRG'!H61)</f>
        <v>0</v>
      </c>
      <c r="P26" s="43">
        <f t="shared" si="2"/>
        <v>0</v>
      </c>
      <c r="Q26" s="43">
        <f t="shared" ca="1" si="3"/>
        <v>0</v>
      </c>
      <c r="R26" s="43">
        <f t="shared" si="4"/>
        <v>0</v>
      </c>
      <c r="S26" s="43">
        <f t="shared" ca="1" si="5"/>
        <v>0</v>
      </c>
      <c r="T26" s="3" t="str">
        <f t="shared" si="6"/>
        <v>Leistungswert eintragen</v>
      </c>
      <c r="U26" s="3">
        <f t="shared" si="7"/>
        <v>240</v>
      </c>
      <c r="V26" s="3">
        <f t="shared" si="8"/>
        <v>0</v>
      </c>
    </row>
    <row r="27" spans="1:22" ht="15" customHeight="1" x14ac:dyDescent="0.2">
      <c r="A27" s="96">
        <v>6</v>
      </c>
      <c r="B27" s="107"/>
      <c r="C27" s="108" t="s">
        <v>216</v>
      </c>
      <c r="D27" s="108"/>
      <c r="E27" s="108" t="s">
        <v>222</v>
      </c>
      <c r="F27" s="108" t="s">
        <v>218</v>
      </c>
      <c r="G27" s="109">
        <v>68.900000000000006</v>
      </c>
      <c r="H27" s="109"/>
      <c r="I27" s="109"/>
      <c r="J27" s="96" t="s">
        <v>260</v>
      </c>
      <c r="K27" s="96" t="s">
        <v>146</v>
      </c>
      <c r="L27" s="43">
        <f>VLOOKUP(K27,Reinigungstage!A10:F31,6,FALSE)</f>
        <v>2</v>
      </c>
      <c r="M27" s="43">
        <f t="shared" si="0"/>
        <v>137.80000000000001</v>
      </c>
      <c r="N27" s="110">
        <f t="shared" si="1"/>
        <v>0</v>
      </c>
      <c r="O27" s="43">
        <f ca="1">IF('SVS UnterhaltsRG'!H61="",0,'SVS UnterhaltsRG'!H61)</f>
        <v>0</v>
      </c>
      <c r="P27" s="43">
        <f t="shared" si="2"/>
        <v>0</v>
      </c>
      <c r="Q27" s="43">
        <f t="shared" ca="1" si="3"/>
        <v>0</v>
      </c>
      <c r="R27" s="43">
        <f t="shared" si="4"/>
        <v>0</v>
      </c>
      <c r="S27" s="43">
        <f t="shared" ca="1" si="5"/>
        <v>0</v>
      </c>
      <c r="T27" s="3" t="str">
        <f t="shared" si="6"/>
        <v>Leistungswert eintragen</v>
      </c>
      <c r="U27" s="3">
        <f t="shared" si="7"/>
        <v>450</v>
      </c>
      <c r="V27" s="3">
        <f t="shared" si="8"/>
        <v>0</v>
      </c>
    </row>
    <row r="28" spans="1:22" ht="15" customHeight="1" x14ac:dyDescent="0.2">
      <c r="A28" s="96">
        <v>7</v>
      </c>
      <c r="B28" s="107"/>
      <c r="C28" s="108" t="s">
        <v>216</v>
      </c>
      <c r="D28" s="108"/>
      <c r="E28" s="108" t="s">
        <v>223</v>
      </c>
      <c r="F28" s="108" t="s">
        <v>220</v>
      </c>
      <c r="G28" s="109">
        <v>12.93</v>
      </c>
      <c r="H28" s="109"/>
      <c r="I28" s="109"/>
      <c r="J28" s="96" t="s">
        <v>223</v>
      </c>
      <c r="K28" s="96" t="s">
        <v>146</v>
      </c>
      <c r="L28" s="43">
        <f>VLOOKUP(K28,Reinigungstage!A10:F31,6,FALSE)</f>
        <v>2</v>
      </c>
      <c r="M28" s="43">
        <f t="shared" si="0"/>
        <v>25.86</v>
      </c>
      <c r="N28" s="110">
        <f t="shared" si="1"/>
        <v>0</v>
      </c>
      <c r="O28" s="43">
        <f ca="1">IF('SVS UnterhaltsRG'!H61="",0,'SVS UnterhaltsRG'!H61)</f>
        <v>0</v>
      </c>
      <c r="P28" s="43">
        <f t="shared" si="2"/>
        <v>0</v>
      </c>
      <c r="Q28" s="43">
        <f t="shared" ca="1" si="3"/>
        <v>0</v>
      </c>
      <c r="R28" s="43">
        <f t="shared" si="4"/>
        <v>0</v>
      </c>
      <c r="S28" s="43">
        <f t="shared" ca="1" si="5"/>
        <v>0</v>
      </c>
      <c r="T28" s="3" t="str">
        <f t="shared" si="6"/>
        <v>Leistungswert eintragen</v>
      </c>
      <c r="U28" s="3">
        <f t="shared" si="7"/>
        <v>165</v>
      </c>
      <c r="V28" s="3">
        <f t="shared" si="8"/>
        <v>0</v>
      </c>
    </row>
    <row r="29" spans="1:22" ht="15" customHeight="1" x14ac:dyDescent="0.2">
      <c r="A29" s="96">
        <v>8</v>
      </c>
      <c r="B29" s="107"/>
      <c r="C29" s="108" t="s">
        <v>216</v>
      </c>
      <c r="D29" s="108"/>
      <c r="E29" s="108" t="s">
        <v>223</v>
      </c>
      <c r="F29" s="108" t="s">
        <v>218</v>
      </c>
      <c r="G29" s="109">
        <v>13.53</v>
      </c>
      <c r="H29" s="109"/>
      <c r="I29" s="109"/>
      <c r="J29" s="96" t="s">
        <v>223</v>
      </c>
      <c r="K29" s="96" t="s">
        <v>146</v>
      </c>
      <c r="L29" s="43">
        <f>VLOOKUP(K29,Reinigungstage!A10:F31,6,FALSE)</f>
        <v>2</v>
      </c>
      <c r="M29" s="43">
        <f t="shared" si="0"/>
        <v>27.06</v>
      </c>
      <c r="N29" s="110">
        <f t="shared" si="1"/>
        <v>0</v>
      </c>
      <c r="O29" s="43">
        <f ca="1">IF('SVS UnterhaltsRG'!H61="",0,'SVS UnterhaltsRG'!H61)</f>
        <v>0</v>
      </c>
      <c r="P29" s="43">
        <f t="shared" si="2"/>
        <v>0</v>
      </c>
      <c r="Q29" s="43">
        <f t="shared" ca="1" si="3"/>
        <v>0</v>
      </c>
      <c r="R29" s="43">
        <f t="shared" si="4"/>
        <v>0</v>
      </c>
      <c r="S29" s="43">
        <f t="shared" ca="1" si="5"/>
        <v>0</v>
      </c>
      <c r="T29" s="3" t="str">
        <f t="shared" si="6"/>
        <v>Leistungswert eintragen</v>
      </c>
      <c r="U29" s="3">
        <f t="shared" si="7"/>
        <v>165</v>
      </c>
      <c r="V29" s="3">
        <f t="shared" si="8"/>
        <v>0</v>
      </c>
    </row>
    <row r="30" spans="1:22" ht="15" customHeight="1" x14ac:dyDescent="0.2">
      <c r="A30" s="96">
        <v>9</v>
      </c>
      <c r="B30" s="107"/>
      <c r="C30" s="108" t="s">
        <v>216</v>
      </c>
      <c r="D30" s="108"/>
      <c r="E30" s="108" t="s">
        <v>223</v>
      </c>
      <c r="F30" s="108" t="s">
        <v>218</v>
      </c>
      <c r="G30" s="109">
        <v>8.18</v>
      </c>
      <c r="H30" s="109"/>
      <c r="I30" s="109"/>
      <c r="J30" s="96" t="s">
        <v>223</v>
      </c>
      <c r="K30" s="96" t="s">
        <v>146</v>
      </c>
      <c r="L30" s="43">
        <f>VLOOKUP(K30,Reinigungstage!A10:F31,6,FALSE)</f>
        <v>2</v>
      </c>
      <c r="M30" s="43">
        <f t="shared" si="0"/>
        <v>16.36</v>
      </c>
      <c r="N30" s="110">
        <f t="shared" si="1"/>
        <v>0</v>
      </c>
      <c r="O30" s="43">
        <f ca="1">IF('SVS UnterhaltsRG'!H61="",0,'SVS UnterhaltsRG'!H61)</f>
        <v>0</v>
      </c>
      <c r="P30" s="43">
        <f t="shared" si="2"/>
        <v>0</v>
      </c>
      <c r="Q30" s="43">
        <f t="shared" ca="1" si="3"/>
        <v>0</v>
      </c>
      <c r="R30" s="43">
        <f t="shared" si="4"/>
        <v>0</v>
      </c>
      <c r="S30" s="43">
        <f t="shared" ca="1" si="5"/>
        <v>0</v>
      </c>
      <c r="T30" s="3" t="str">
        <f t="shared" si="6"/>
        <v>Leistungswert eintragen</v>
      </c>
      <c r="U30" s="3">
        <f t="shared" si="7"/>
        <v>165</v>
      </c>
      <c r="V30" s="3">
        <f t="shared" si="8"/>
        <v>0</v>
      </c>
    </row>
    <row r="31" spans="1:22" ht="15" customHeight="1" x14ac:dyDescent="0.2">
      <c r="A31" s="96">
        <v>10</v>
      </c>
      <c r="B31" s="107">
        <v>27</v>
      </c>
      <c r="C31" s="108" t="s">
        <v>224</v>
      </c>
      <c r="D31" s="108"/>
      <c r="E31" s="108" t="s">
        <v>225</v>
      </c>
      <c r="F31" s="108" t="s">
        <v>218</v>
      </c>
      <c r="G31" s="109">
        <v>12.12</v>
      </c>
      <c r="H31" s="109"/>
      <c r="I31" s="109"/>
      <c r="J31" s="96" t="s">
        <v>261</v>
      </c>
      <c r="K31" s="96" t="s">
        <v>146</v>
      </c>
      <c r="L31" s="43">
        <f>VLOOKUP(K31,Reinigungstage!A10:F31,6,FALSE)</f>
        <v>2</v>
      </c>
      <c r="M31" s="43">
        <f t="shared" si="0"/>
        <v>24.24</v>
      </c>
      <c r="N31" s="110">
        <f t="shared" si="1"/>
        <v>0</v>
      </c>
      <c r="O31" s="43">
        <f ca="1">IF('SVS UnterhaltsRG'!H61="",0,'SVS UnterhaltsRG'!H61)</f>
        <v>0</v>
      </c>
      <c r="P31" s="43">
        <f t="shared" si="2"/>
        <v>0</v>
      </c>
      <c r="Q31" s="43">
        <f t="shared" ca="1" si="3"/>
        <v>0</v>
      </c>
      <c r="R31" s="43">
        <f t="shared" si="4"/>
        <v>0</v>
      </c>
      <c r="S31" s="43">
        <f t="shared" ca="1" si="5"/>
        <v>0</v>
      </c>
      <c r="T31" s="3" t="str">
        <f t="shared" si="6"/>
        <v>Leistungswert eintragen</v>
      </c>
      <c r="U31" s="3">
        <f t="shared" si="7"/>
        <v>215</v>
      </c>
      <c r="V31" s="3">
        <f t="shared" si="8"/>
        <v>0</v>
      </c>
    </row>
    <row r="32" spans="1:22" ht="15" customHeight="1" x14ac:dyDescent="0.2">
      <c r="A32" s="96">
        <v>11</v>
      </c>
      <c r="B32" s="107"/>
      <c r="C32" s="108" t="s">
        <v>224</v>
      </c>
      <c r="D32" s="108">
        <v>3</v>
      </c>
      <c r="E32" s="108" t="s">
        <v>217</v>
      </c>
      <c r="F32" s="108" t="s">
        <v>218</v>
      </c>
      <c r="G32" s="109">
        <v>62.3</v>
      </c>
      <c r="H32" s="109"/>
      <c r="I32" s="109"/>
      <c r="J32" s="96" t="s">
        <v>258</v>
      </c>
      <c r="K32" s="96" t="s">
        <v>146</v>
      </c>
      <c r="L32" s="43">
        <f>VLOOKUP(K32,Reinigungstage!A10:F31,6,FALSE)</f>
        <v>2</v>
      </c>
      <c r="M32" s="43">
        <f t="shared" si="0"/>
        <v>124.6</v>
      </c>
      <c r="N32" s="110">
        <f t="shared" si="1"/>
        <v>0</v>
      </c>
      <c r="O32" s="43">
        <f ca="1">IF('SVS UnterhaltsRG'!H61="",0,'SVS UnterhaltsRG'!H61)</f>
        <v>0</v>
      </c>
      <c r="P32" s="43">
        <f t="shared" si="2"/>
        <v>0</v>
      </c>
      <c r="Q32" s="43">
        <f t="shared" ca="1" si="3"/>
        <v>0</v>
      </c>
      <c r="R32" s="43">
        <f t="shared" si="4"/>
        <v>0</v>
      </c>
      <c r="S32" s="43">
        <f t="shared" ca="1" si="5"/>
        <v>0</v>
      </c>
      <c r="T32" s="3" t="str">
        <f t="shared" si="6"/>
        <v>Leistungswert eintragen</v>
      </c>
      <c r="U32" s="3">
        <f t="shared" si="7"/>
        <v>240</v>
      </c>
      <c r="V32" s="3">
        <f t="shared" si="8"/>
        <v>0</v>
      </c>
    </row>
    <row r="33" spans="1:22" ht="15" customHeight="1" x14ac:dyDescent="0.2">
      <c r="A33" s="96">
        <v>12</v>
      </c>
      <c r="B33" s="107">
        <v>25</v>
      </c>
      <c r="C33" s="108" t="s">
        <v>224</v>
      </c>
      <c r="D33" s="108"/>
      <c r="E33" s="108" t="s">
        <v>217</v>
      </c>
      <c r="F33" s="108" t="s">
        <v>218</v>
      </c>
      <c r="G33" s="109">
        <v>25.93</v>
      </c>
      <c r="H33" s="109"/>
      <c r="I33" s="109"/>
      <c r="J33" s="96" t="s">
        <v>258</v>
      </c>
      <c r="K33" s="96" t="s">
        <v>146</v>
      </c>
      <c r="L33" s="43">
        <f>VLOOKUP(K33,Reinigungstage!A10:F31,6,FALSE)</f>
        <v>2</v>
      </c>
      <c r="M33" s="43">
        <f t="shared" si="0"/>
        <v>51.86</v>
      </c>
      <c r="N33" s="110">
        <f t="shared" si="1"/>
        <v>0</v>
      </c>
      <c r="O33" s="43">
        <f ca="1">IF('SVS UnterhaltsRG'!H61="",0,'SVS UnterhaltsRG'!H61)</f>
        <v>0</v>
      </c>
      <c r="P33" s="43">
        <f t="shared" si="2"/>
        <v>0</v>
      </c>
      <c r="Q33" s="43">
        <f t="shared" ca="1" si="3"/>
        <v>0</v>
      </c>
      <c r="R33" s="43">
        <f t="shared" si="4"/>
        <v>0</v>
      </c>
      <c r="S33" s="43">
        <f t="shared" ca="1" si="5"/>
        <v>0</v>
      </c>
      <c r="T33" s="3" t="str">
        <f t="shared" si="6"/>
        <v>Leistungswert eintragen</v>
      </c>
      <c r="U33" s="3">
        <f t="shared" si="7"/>
        <v>240</v>
      </c>
      <c r="V33" s="3">
        <f t="shared" si="8"/>
        <v>0</v>
      </c>
    </row>
    <row r="34" spans="1:22" ht="15" customHeight="1" x14ac:dyDescent="0.2">
      <c r="A34" s="96">
        <v>13</v>
      </c>
      <c r="B34" s="107"/>
      <c r="C34" s="108" t="s">
        <v>224</v>
      </c>
      <c r="D34" s="108"/>
      <c r="E34" s="108" t="s">
        <v>222</v>
      </c>
      <c r="F34" s="108" t="s">
        <v>220</v>
      </c>
      <c r="G34" s="109">
        <v>93.68</v>
      </c>
      <c r="H34" s="109"/>
      <c r="I34" s="109"/>
      <c r="J34" s="96" t="s">
        <v>260</v>
      </c>
      <c r="K34" s="96" t="s">
        <v>146</v>
      </c>
      <c r="L34" s="43">
        <f>VLOOKUP(K34,Reinigungstage!A10:F31,6,FALSE)</f>
        <v>2</v>
      </c>
      <c r="M34" s="43">
        <f t="shared" si="0"/>
        <v>187.36</v>
      </c>
      <c r="N34" s="110">
        <f t="shared" si="1"/>
        <v>0</v>
      </c>
      <c r="O34" s="43">
        <f ca="1">IF('SVS UnterhaltsRG'!H61="",0,'SVS UnterhaltsRG'!H61)</f>
        <v>0</v>
      </c>
      <c r="P34" s="43">
        <f t="shared" si="2"/>
        <v>0</v>
      </c>
      <c r="Q34" s="43">
        <f t="shared" ca="1" si="3"/>
        <v>0</v>
      </c>
      <c r="R34" s="43">
        <f t="shared" si="4"/>
        <v>0</v>
      </c>
      <c r="S34" s="43">
        <f t="shared" ca="1" si="5"/>
        <v>0</v>
      </c>
      <c r="T34" s="3" t="str">
        <f t="shared" si="6"/>
        <v>Leistungswert eintragen</v>
      </c>
      <c r="U34" s="3">
        <f t="shared" si="7"/>
        <v>450</v>
      </c>
      <c r="V34" s="3">
        <f t="shared" si="8"/>
        <v>0</v>
      </c>
    </row>
    <row r="35" spans="1:22" ht="15" customHeight="1" x14ac:dyDescent="0.2">
      <c r="A35" s="96">
        <v>14</v>
      </c>
      <c r="B35" s="107">
        <v>24</v>
      </c>
      <c r="C35" s="108" t="s">
        <v>224</v>
      </c>
      <c r="D35" s="108"/>
      <c r="E35" s="108" t="s">
        <v>217</v>
      </c>
      <c r="F35" s="108" t="s">
        <v>218</v>
      </c>
      <c r="G35" s="109">
        <v>41.18</v>
      </c>
      <c r="H35" s="109"/>
      <c r="I35" s="109"/>
      <c r="J35" s="96" t="s">
        <v>258</v>
      </c>
      <c r="K35" s="96" t="s">
        <v>146</v>
      </c>
      <c r="L35" s="43">
        <f>VLOOKUP(K35,Reinigungstage!A10:F31,6,FALSE)</f>
        <v>2</v>
      </c>
      <c r="M35" s="43">
        <f t="shared" si="0"/>
        <v>82.36</v>
      </c>
      <c r="N35" s="110">
        <f t="shared" si="1"/>
        <v>0</v>
      </c>
      <c r="O35" s="43">
        <f ca="1">IF('SVS UnterhaltsRG'!H61="",0,'SVS UnterhaltsRG'!H61)</f>
        <v>0</v>
      </c>
      <c r="P35" s="43">
        <f t="shared" si="2"/>
        <v>0</v>
      </c>
      <c r="Q35" s="43">
        <f t="shared" ca="1" si="3"/>
        <v>0</v>
      </c>
      <c r="R35" s="43">
        <f t="shared" si="4"/>
        <v>0</v>
      </c>
      <c r="S35" s="43">
        <f t="shared" ca="1" si="5"/>
        <v>0</v>
      </c>
      <c r="T35" s="3" t="str">
        <f t="shared" si="6"/>
        <v>Leistungswert eintragen</v>
      </c>
      <c r="U35" s="3">
        <f t="shared" si="7"/>
        <v>240</v>
      </c>
      <c r="V35" s="3">
        <f t="shared" si="8"/>
        <v>0</v>
      </c>
    </row>
    <row r="36" spans="1:22" ht="15" customHeight="1" x14ac:dyDescent="0.2">
      <c r="A36" s="96">
        <v>15</v>
      </c>
      <c r="B36" s="107"/>
      <c r="C36" s="108" t="s">
        <v>224</v>
      </c>
      <c r="D36" s="108"/>
      <c r="E36" s="108" t="s">
        <v>226</v>
      </c>
      <c r="F36" s="108" t="s">
        <v>220</v>
      </c>
      <c r="G36" s="109">
        <v>11.32</v>
      </c>
      <c r="H36" s="109"/>
      <c r="I36" s="109"/>
      <c r="J36" s="96" t="s">
        <v>259</v>
      </c>
      <c r="K36" s="96" t="s">
        <v>146</v>
      </c>
      <c r="L36" s="43">
        <f>VLOOKUP(K36,Reinigungstage!A10:F31,6,FALSE)</f>
        <v>2</v>
      </c>
      <c r="M36" s="43">
        <f t="shared" si="0"/>
        <v>22.64</v>
      </c>
      <c r="N36" s="110">
        <f t="shared" si="1"/>
        <v>0</v>
      </c>
      <c r="O36" s="43">
        <f ca="1">IF('SVS UnterhaltsRG'!H61="",0,'SVS UnterhaltsRG'!H61)</f>
        <v>0</v>
      </c>
      <c r="P36" s="43">
        <f t="shared" si="2"/>
        <v>0</v>
      </c>
      <c r="Q36" s="43">
        <f t="shared" ca="1" si="3"/>
        <v>0</v>
      </c>
      <c r="R36" s="43">
        <f t="shared" si="4"/>
        <v>0</v>
      </c>
      <c r="S36" s="43">
        <f t="shared" ca="1" si="5"/>
        <v>0</v>
      </c>
      <c r="T36" s="3" t="str">
        <f t="shared" si="6"/>
        <v>Leistungswert eintragen</v>
      </c>
      <c r="U36" s="3">
        <f t="shared" si="7"/>
        <v>75</v>
      </c>
      <c r="V36" s="3">
        <f t="shared" si="8"/>
        <v>0</v>
      </c>
    </row>
    <row r="37" spans="1:22" ht="15" customHeight="1" x14ac:dyDescent="0.2">
      <c r="A37" s="96">
        <v>16</v>
      </c>
      <c r="B37" s="107"/>
      <c r="C37" s="108" t="s">
        <v>224</v>
      </c>
      <c r="D37" s="108"/>
      <c r="E37" s="108" t="s">
        <v>227</v>
      </c>
      <c r="F37" s="108" t="s">
        <v>220</v>
      </c>
      <c r="G37" s="109">
        <v>11.87</v>
      </c>
      <c r="H37" s="109"/>
      <c r="I37" s="109"/>
      <c r="J37" s="96" t="s">
        <v>259</v>
      </c>
      <c r="K37" s="96" t="s">
        <v>146</v>
      </c>
      <c r="L37" s="43">
        <f>VLOOKUP(K37,Reinigungstage!A10:F31,6,FALSE)</f>
        <v>2</v>
      </c>
      <c r="M37" s="43">
        <f t="shared" si="0"/>
        <v>23.74</v>
      </c>
      <c r="N37" s="110">
        <f t="shared" si="1"/>
        <v>0</v>
      </c>
      <c r="O37" s="43">
        <f ca="1">IF('SVS UnterhaltsRG'!H61="",0,'SVS UnterhaltsRG'!H61)</f>
        <v>0</v>
      </c>
      <c r="P37" s="43">
        <f t="shared" si="2"/>
        <v>0</v>
      </c>
      <c r="Q37" s="43">
        <f t="shared" ca="1" si="3"/>
        <v>0</v>
      </c>
      <c r="R37" s="43">
        <f t="shared" si="4"/>
        <v>0</v>
      </c>
      <c r="S37" s="43">
        <f t="shared" ca="1" si="5"/>
        <v>0</v>
      </c>
      <c r="T37" s="3" t="str">
        <f t="shared" si="6"/>
        <v>Leistungswert eintragen</v>
      </c>
      <c r="U37" s="3">
        <f t="shared" si="7"/>
        <v>75</v>
      </c>
      <c r="V37" s="3">
        <f t="shared" si="8"/>
        <v>0</v>
      </c>
    </row>
    <row r="38" spans="1:22" ht="15" customHeight="1" x14ac:dyDescent="0.2">
      <c r="A38" s="96">
        <v>17</v>
      </c>
      <c r="B38" s="107">
        <v>22</v>
      </c>
      <c r="C38" s="108" t="s">
        <v>224</v>
      </c>
      <c r="D38" s="108"/>
      <c r="E38" s="108" t="s">
        <v>217</v>
      </c>
      <c r="F38" s="108" t="s">
        <v>218</v>
      </c>
      <c r="G38" s="109">
        <v>38.770000000000003</v>
      </c>
      <c r="H38" s="109"/>
      <c r="I38" s="109"/>
      <c r="J38" s="96" t="s">
        <v>258</v>
      </c>
      <c r="K38" s="96" t="s">
        <v>146</v>
      </c>
      <c r="L38" s="43">
        <f>VLOOKUP(K38,Reinigungstage!A10:F31,6,FALSE)</f>
        <v>2</v>
      </c>
      <c r="M38" s="43">
        <f t="shared" si="0"/>
        <v>77.540000000000006</v>
      </c>
      <c r="N38" s="110">
        <f t="shared" si="1"/>
        <v>0</v>
      </c>
      <c r="O38" s="43">
        <f ca="1">IF('SVS UnterhaltsRG'!H61="",0,'SVS UnterhaltsRG'!H61)</f>
        <v>0</v>
      </c>
      <c r="P38" s="43">
        <f t="shared" si="2"/>
        <v>0</v>
      </c>
      <c r="Q38" s="43">
        <f t="shared" ca="1" si="3"/>
        <v>0</v>
      </c>
      <c r="R38" s="43">
        <f t="shared" si="4"/>
        <v>0</v>
      </c>
      <c r="S38" s="43">
        <f t="shared" ca="1" si="5"/>
        <v>0</v>
      </c>
      <c r="T38" s="3" t="str">
        <f t="shared" si="6"/>
        <v>Leistungswert eintragen</v>
      </c>
      <c r="U38" s="3">
        <f t="shared" si="7"/>
        <v>240</v>
      </c>
      <c r="V38" s="3">
        <f t="shared" si="8"/>
        <v>0</v>
      </c>
    </row>
    <row r="39" spans="1:22" ht="15" customHeight="1" x14ac:dyDescent="0.2">
      <c r="A39" s="96">
        <v>18</v>
      </c>
      <c r="B39" s="107">
        <v>21</v>
      </c>
      <c r="C39" s="108" t="s">
        <v>224</v>
      </c>
      <c r="D39" s="108"/>
      <c r="E39" s="108" t="s">
        <v>228</v>
      </c>
      <c r="F39" s="108" t="s">
        <v>229</v>
      </c>
      <c r="G39" s="109">
        <v>68.09</v>
      </c>
      <c r="H39" s="109"/>
      <c r="I39" s="109"/>
      <c r="J39" s="96" t="s">
        <v>261</v>
      </c>
      <c r="K39" s="96" t="s">
        <v>146</v>
      </c>
      <c r="L39" s="43">
        <f>VLOOKUP(K39,Reinigungstage!A10:F31,6,FALSE)</f>
        <v>2</v>
      </c>
      <c r="M39" s="43">
        <f t="shared" si="0"/>
        <v>136.18</v>
      </c>
      <c r="N39" s="110">
        <f t="shared" si="1"/>
        <v>0</v>
      </c>
      <c r="O39" s="43">
        <f ca="1">IF('SVS UnterhaltsRG'!H61="",0,'SVS UnterhaltsRG'!H61)</f>
        <v>0</v>
      </c>
      <c r="P39" s="43">
        <f t="shared" si="2"/>
        <v>0</v>
      </c>
      <c r="Q39" s="43">
        <f t="shared" ca="1" si="3"/>
        <v>0</v>
      </c>
      <c r="R39" s="43">
        <f t="shared" si="4"/>
        <v>0</v>
      </c>
      <c r="S39" s="43">
        <f t="shared" ca="1" si="5"/>
        <v>0</v>
      </c>
      <c r="T39" s="3" t="str">
        <f t="shared" si="6"/>
        <v>Leistungswert eintragen</v>
      </c>
      <c r="U39" s="3">
        <f t="shared" si="7"/>
        <v>215</v>
      </c>
      <c r="V39" s="3">
        <f t="shared" si="8"/>
        <v>0</v>
      </c>
    </row>
    <row r="40" spans="1:22" ht="15" customHeight="1" x14ac:dyDescent="0.2">
      <c r="A40" s="96">
        <v>19</v>
      </c>
      <c r="B40" s="107">
        <v>21</v>
      </c>
      <c r="C40" s="108" t="s">
        <v>224</v>
      </c>
      <c r="D40" s="108"/>
      <c r="E40" s="108" t="s">
        <v>230</v>
      </c>
      <c r="F40" s="108" t="s">
        <v>231</v>
      </c>
      <c r="G40" s="109">
        <v>13.51</v>
      </c>
      <c r="H40" s="109"/>
      <c r="I40" s="109"/>
      <c r="J40" s="96" t="s">
        <v>261</v>
      </c>
      <c r="K40" s="96" t="s">
        <v>146</v>
      </c>
      <c r="L40" s="43">
        <f>VLOOKUP(K40,Reinigungstage!A10:F31,6,FALSE)</f>
        <v>2</v>
      </c>
      <c r="M40" s="43">
        <f t="shared" si="0"/>
        <v>27.02</v>
      </c>
      <c r="N40" s="110">
        <f t="shared" si="1"/>
        <v>0</v>
      </c>
      <c r="O40" s="43">
        <f ca="1">IF('SVS UnterhaltsRG'!H61="",0,'SVS UnterhaltsRG'!H61)</f>
        <v>0</v>
      </c>
      <c r="P40" s="43">
        <f t="shared" si="2"/>
        <v>0</v>
      </c>
      <c r="Q40" s="43">
        <f t="shared" ca="1" si="3"/>
        <v>0</v>
      </c>
      <c r="R40" s="43">
        <f t="shared" si="4"/>
        <v>0</v>
      </c>
      <c r="S40" s="43">
        <f t="shared" ca="1" si="5"/>
        <v>0</v>
      </c>
      <c r="T40" s="3" t="str">
        <f t="shared" si="6"/>
        <v>Leistungswert eintragen</v>
      </c>
      <c r="U40" s="3">
        <f t="shared" si="7"/>
        <v>215</v>
      </c>
      <c r="V40" s="3">
        <f t="shared" si="8"/>
        <v>0</v>
      </c>
    </row>
    <row r="41" spans="1:22" ht="15" customHeight="1" x14ac:dyDescent="0.2">
      <c r="A41" s="96">
        <v>20</v>
      </c>
      <c r="B41" s="107">
        <v>20</v>
      </c>
      <c r="C41" s="108" t="s">
        <v>224</v>
      </c>
      <c r="D41" s="108"/>
      <c r="E41" s="108" t="s">
        <v>217</v>
      </c>
      <c r="F41" s="108" t="s">
        <v>218</v>
      </c>
      <c r="G41" s="109">
        <v>65.599999999999994</v>
      </c>
      <c r="H41" s="109"/>
      <c r="I41" s="109"/>
      <c r="J41" s="96" t="s">
        <v>258</v>
      </c>
      <c r="K41" s="96" t="s">
        <v>146</v>
      </c>
      <c r="L41" s="43">
        <f>VLOOKUP(K41,Reinigungstage!A10:F31,6,FALSE)</f>
        <v>2</v>
      </c>
      <c r="M41" s="43">
        <f t="shared" si="0"/>
        <v>131.19999999999999</v>
      </c>
      <c r="N41" s="110">
        <f t="shared" si="1"/>
        <v>0</v>
      </c>
      <c r="O41" s="43">
        <f ca="1">IF('SVS UnterhaltsRG'!H61="",0,'SVS UnterhaltsRG'!H61)</f>
        <v>0</v>
      </c>
      <c r="P41" s="43">
        <f t="shared" si="2"/>
        <v>0</v>
      </c>
      <c r="Q41" s="43">
        <f t="shared" ca="1" si="3"/>
        <v>0</v>
      </c>
      <c r="R41" s="43">
        <f t="shared" si="4"/>
        <v>0</v>
      </c>
      <c r="S41" s="43">
        <f t="shared" ca="1" si="5"/>
        <v>0</v>
      </c>
      <c r="T41" s="3" t="str">
        <f t="shared" si="6"/>
        <v>Leistungswert eintragen</v>
      </c>
      <c r="U41" s="3">
        <f t="shared" si="7"/>
        <v>240</v>
      </c>
      <c r="V41" s="3">
        <f t="shared" si="8"/>
        <v>0</v>
      </c>
    </row>
    <row r="42" spans="1:22" ht="15" customHeight="1" x14ac:dyDescent="0.2">
      <c r="A42" s="96">
        <v>21</v>
      </c>
      <c r="B42" s="107"/>
      <c r="C42" s="108" t="s">
        <v>224</v>
      </c>
      <c r="D42" s="108"/>
      <c r="E42" s="108" t="s">
        <v>223</v>
      </c>
      <c r="F42" s="108" t="s">
        <v>220</v>
      </c>
      <c r="G42" s="109">
        <v>16.04</v>
      </c>
      <c r="H42" s="109"/>
      <c r="I42" s="109"/>
      <c r="J42" s="96" t="s">
        <v>223</v>
      </c>
      <c r="K42" s="96" t="s">
        <v>146</v>
      </c>
      <c r="L42" s="43">
        <f>VLOOKUP(K42,Reinigungstage!A10:F31,6,FALSE)</f>
        <v>2</v>
      </c>
      <c r="M42" s="43">
        <f t="shared" si="0"/>
        <v>32.08</v>
      </c>
      <c r="N42" s="110">
        <f t="shared" si="1"/>
        <v>0</v>
      </c>
      <c r="O42" s="43">
        <f ca="1">IF('SVS UnterhaltsRG'!H61="",0,'SVS UnterhaltsRG'!H61)</f>
        <v>0</v>
      </c>
      <c r="P42" s="43">
        <f t="shared" si="2"/>
        <v>0</v>
      </c>
      <c r="Q42" s="43">
        <f t="shared" ca="1" si="3"/>
        <v>0</v>
      </c>
      <c r="R42" s="43">
        <f t="shared" si="4"/>
        <v>0</v>
      </c>
      <c r="S42" s="43">
        <f t="shared" ca="1" si="5"/>
        <v>0</v>
      </c>
      <c r="T42" s="3" t="str">
        <f t="shared" si="6"/>
        <v>Leistungswert eintragen</v>
      </c>
      <c r="U42" s="3">
        <f t="shared" si="7"/>
        <v>165</v>
      </c>
      <c r="V42" s="3">
        <f t="shared" si="8"/>
        <v>0</v>
      </c>
    </row>
    <row r="43" spans="1:22" ht="15" customHeight="1" x14ac:dyDescent="0.2">
      <c r="A43" s="96">
        <v>22</v>
      </c>
      <c r="B43" s="107"/>
      <c r="C43" s="108" t="s">
        <v>224</v>
      </c>
      <c r="D43" s="108"/>
      <c r="E43" s="108" t="s">
        <v>223</v>
      </c>
      <c r="F43" s="108" t="s">
        <v>218</v>
      </c>
      <c r="G43" s="109">
        <v>12.88</v>
      </c>
      <c r="H43" s="109"/>
      <c r="I43" s="109"/>
      <c r="J43" s="96" t="s">
        <v>223</v>
      </c>
      <c r="K43" s="96" t="s">
        <v>146</v>
      </c>
      <c r="L43" s="43">
        <f>VLOOKUP(K43,Reinigungstage!A10:F31,6,FALSE)</f>
        <v>2</v>
      </c>
      <c r="M43" s="43">
        <f t="shared" si="0"/>
        <v>25.76</v>
      </c>
      <c r="N43" s="110">
        <f t="shared" si="1"/>
        <v>0</v>
      </c>
      <c r="O43" s="43">
        <f ca="1">IF('SVS UnterhaltsRG'!H61="",0,'SVS UnterhaltsRG'!H61)</f>
        <v>0</v>
      </c>
      <c r="P43" s="43">
        <f t="shared" si="2"/>
        <v>0</v>
      </c>
      <c r="Q43" s="43">
        <f t="shared" ca="1" si="3"/>
        <v>0</v>
      </c>
      <c r="R43" s="43">
        <f t="shared" si="4"/>
        <v>0</v>
      </c>
      <c r="S43" s="43">
        <f t="shared" ca="1" si="5"/>
        <v>0</v>
      </c>
      <c r="T43" s="3" t="str">
        <f t="shared" si="6"/>
        <v>Leistungswert eintragen</v>
      </c>
      <c r="U43" s="3">
        <f t="shared" si="7"/>
        <v>165</v>
      </c>
      <c r="V43" s="3">
        <f t="shared" si="8"/>
        <v>0</v>
      </c>
    </row>
    <row r="44" spans="1:22" ht="15" customHeight="1" x14ac:dyDescent="0.2">
      <c r="A44" s="96">
        <v>23</v>
      </c>
      <c r="B44" s="107"/>
      <c r="C44" s="108" t="s">
        <v>224</v>
      </c>
      <c r="D44" s="108"/>
      <c r="E44" s="108" t="s">
        <v>232</v>
      </c>
      <c r="F44" s="108" t="s">
        <v>220</v>
      </c>
      <c r="G44" s="109">
        <v>3.32</v>
      </c>
      <c r="H44" s="109"/>
      <c r="I44" s="109"/>
      <c r="J44" s="96" t="s">
        <v>223</v>
      </c>
      <c r="K44" s="96" t="s">
        <v>146</v>
      </c>
      <c r="L44" s="43">
        <f>VLOOKUP(K44,Reinigungstage!A10:F31,6,FALSE)</f>
        <v>2</v>
      </c>
      <c r="M44" s="43">
        <f t="shared" si="0"/>
        <v>6.64</v>
      </c>
      <c r="N44" s="110">
        <f t="shared" si="1"/>
        <v>0</v>
      </c>
      <c r="O44" s="43">
        <f ca="1">IF('SVS UnterhaltsRG'!H61="",0,'SVS UnterhaltsRG'!H61)</f>
        <v>0</v>
      </c>
      <c r="P44" s="43">
        <f t="shared" si="2"/>
        <v>0</v>
      </c>
      <c r="Q44" s="43">
        <f t="shared" ca="1" si="3"/>
        <v>0</v>
      </c>
      <c r="R44" s="43">
        <f t="shared" si="4"/>
        <v>0</v>
      </c>
      <c r="S44" s="43">
        <f t="shared" ca="1" si="5"/>
        <v>0</v>
      </c>
      <c r="T44" s="3" t="str">
        <f t="shared" si="6"/>
        <v>Leistungswert eintragen</v>
      </c>
      <c r="U44" s="3">
        <f t="shared" si="7"/>
        <v>165</v>
      </c>
      <c r="V44" s="3">
        <f t="shared" si="8"/>
        <v>0</v>
      </c>
    </row>
    <row r="45" spans="1:22" ht="15" customHeight="1" x14ac:dyDescent="0.2">
      <c r="A45" s="96">
        <v>24</v>
      </c>
      <c r="B45" s="107"/>
      <c r="C45" s="108" t="s">
        <v>224</v>
      </c>
      <c r="D45" s="108"/>
      <c r="E45" s="108" t="s">
        <v>223</v>
      </c>
      <c r="F45" s="108" t="s">
        <v>218</v>
      </c>
      <c r="G45" s="109">
        <v>10.64</v>
      </c>
      <c r="H45" s="109"/>
      <c r="I45" s="109"/>
      <c r="J45" s="96" t="s">
        <v>223</v>
      </c>
      <c r="K45" s="96" t="s">
        <v>146</v>
      </c>
      <c r="L45" s="43">
        <f>VLOOKUP(K45,Reinigungstage!A10:F31,6,FALSE)</f>
        <v>2</v>
      </c>
      <c r="M45" s="43">
        <f t="shared" si="0"/>
        <v>21.28</v>
      </c>
      <c r="N45" s="110">
        <f t="shared" si="1"/>
        <v>0</v>
      </c>
      <c r="O45" s="43">
        <f ca="1">IF('SVS UnterhaltsRG'!H61="",0,'SVS UnterhaltsRG'!H61)</f>
        <v>0</v>
      </c>
      <c r="P45" s="43">
        <f t="shared" si="2"/>
        <v>0</v>
      </c>
      <c r="Q45" s="43">
        <f t="shared" ca="1" si="3"/>
        <v>0</v>
      </c>
      <c r="R45" s="43">
        <f t="shared" si="4"/>
        <v>0</v>
      </c>
      <c r="S45" s="43">
        <f t="shared" ca="1" si="5"/>
        <v>0</v>
      </c>
      <c r="T45" s="3" t="str">
        <f t="shared" si="6"/>
        <v>Leistungswert eintragen</v>
      </c>
      <c r="U45" s="3">
        <f t="shared" si="7"/>
        <v>165</v>
      </c>
      <c r="V45" s="3">
        <f t="shared" si="8"/>
        <v>0</v>
      </c>
    </row>
    <row r="46" spans="1:22" ht="15" customHeight="1" x14ac:dyDescent="0.2">
      <c r="A46" s="96">
        <v>25</v>
      </c>
      <c r="B46" s="107"/>
      <c r="C46" s="108" t="s">
        <v>233</v>
      </c>
      <c r="D46" s="108"/>
      <c r="E46" s="108" t="s">
        <v>217</v>
      </c>
      <c r="F46" s="108" t="s">
        <v>218</v>
      </c>
      <c r="G46" s="109">
        <v>62.15</v>
      </c>
      <c r="H46" s="109"/>
      <c r="I46" s="109"/>
      <c r="J46" s="96" t="s">
        <v>258</v>
      </c>
      <c r="K46" s="96" t="s">
        <v>146</v>
      </c>
      <c r="L46" s="43">
        <f>VLOOKUP(K46,Reinigungstage!A10:F31,6,FALSE)</f>
        <v>2</v>
      </c>
      <c r="M46" s="43">
        <f t="shared" si="0"/>
        <v>124.3</v>
      </c>
      <c r="N46" s="110">
        <f t="shared" si="1"/>
        <v>0</v>
      </c>
      <c r="O46" s="43">
        <f ca="1">IF('SVS UnterhaltsRG'!H61="",0,'SVS UnterhaltsRG'!H61)</f>
        <v>0</v>
      </c>
      <c r="P46" s="43">
        <f t="shared" si="2"/>
        <v>0</v>
      </c>
      <c r="Q46" s="43">
        <f t="shared" ca="1" si="3"/>
        <v>0</v>
      </c>
      <c r="R46" s="43">
        <f t="shared" si="4"/>
        <v>0</v>
      </c>
      <c r="S46" s="43">
        <f t="shared" ca="1" si="5"/>
        <v>0</v>
      </c>
      <c r="T46" s="3" t="str">
        <f t="shared" si="6"/>
        <v>Leistungswert eintragen</v>
      </c>
      <c r="U46" s="3">
        <f t="shared" si="7"/>
        <v>240</v>
      </c>
      <c r="V46" s="3">
        <f t="shared" si="8"/>
        <v>0</v>
      </c>
    </row>
    <row r="47" spans="1:22" ht="15" customHeight="1" x14ac:dyDescent="0.2">
      <c r="A47" s="96">
        <v>26</v>
      </c>
      <c r="B47" s="107"/>
      <c r="C47" s="108" t="s">
        <v>233</v>
      </c>
      <c r="D47" s="108"/>
      <c r="E47" s="108" t="s">
        <v>234</v>
      </c>
      <c r="F47" s="108" t="s">
        <v>218</v>
      </c>
      <c r="G47" s="109">
        <v>25.91</v>
      </c>
      <c r="H47" s="109"/>
      <c r="I47" s="109"/>
      <c r="J47" s="96" t="s">
        <v>261</v>
      </c>
      <c r="K47" s="96" t="s">
        <v>146</v>
      </c>
      <c r="L47" s="43">
        <f>VLOOKUP(K47,Reinigungstage!A10:F31,6,FALSE)</f>
        <v>2</v>
      </c>
      <c r="M47" s="43">
        <f t="shared" si="0"/>
        <v>51.82</v>
      </c>
      <c r="N47" s="110">
        <f t="shared" si="1"/>
        <v>0</v>
      </c>
      <c r="O47" s="43">
        <f ca="1">IF('SVS UnterhaltsRG'!H61="",0,'SVS UnterhaltsRG'!H61)</f>
        <v>0</v>
      </c>
      <c r="P47" s="43">
        <f t="shared" si="2"/>
        <v>0</v>
      </c>
      <c r="Q47" s="43">
        <f t="shared" ca="1" si="3"/>
        <v>0</v>
      </c>
      <c r="R47" s="43">
        <f t="shared" si="4"/>
        <v>0</v>
      </c>
      <c r="S47" s="43">
        <f t="shared" ca="1" si="5"/>
        <v>0</v>
      </c>
      <c r="T47" s="3" t="str">
        <f t="shared" si="6"/>
        <v>Leistungswert eintragen</v>
      </c>
      <c r="U47" s="3">
        <f t="shared" si="7"/>
        <v>215</v>
      </c>
      <c r="V47" s="3">
        <f t="shared" si="8"/>
        <v>0</v>
      </c>
    </row>
    <row r="48" spans="1:22" ht="15" customHeight="1" x14ac:dyDescent="0.2">
      <c r="A48" s="96">
        <v>27</v>
      </c>
      <c r="B48" s="107"/>
      <c r="C48" s="108" t="s">
        <v>233</v>
      </c>
      <c r="D48" s="108"/>
      <c r="E48" s="108" t="s">
        <v>235</v>
      </c>
      <c r="F48" s="108" t="s">
        <v>218</v>
      </c>
      <c r="G48" s="109">
        <v>47.13</v>
      </c>
      <c r="H48" s="109"/>
      <c r="I48" s="109"/>
      <c r="J48" s="96" t="s">
        <v>237</v>
      </c>
      <c r="K48" s="96" t="s">
        <v>146</v>
      </c>
      <c r="L48" s="43">
        <f>VLOOKUP(K48,Reinigungstage!A10:F31,6,FALSE)</f>
        <v>2</v>
      </c>
      <c r="M48" s="43">
        <f t="shared" si="0"/>
        <v>94.26</v>
      </c>
      <c r="N48" s="110">
        <f t="shared" si="1"/>
        <v>0</v>
      </c>
      <c r="O48" s="43">
        <f ca="1">IF('SVS UnterhaltsRG'!H61="",0,'SVS UnterhaltsRG'!H61)</f>
        <v>0</v>
      </c>
      <c r="P48" s="43">
        <f t="shared" si="2"/>
        <v>0</v>
      </c>
      <c r="Q48" s="43">
        <f t="shared" ca="1" si="3"/>
        <v>0</v>
      </c>
      <c r="R48" s="43">
        <f t="shared" si="4"/>
        <v>0</v>
      </c>
      <c r="S48" s="43">
        <f t="shared" ca="1" si="5"/>
        <v>0</v>
      </c>
      <c r="T48" s="3" t="str">
        <f t="shared" si="6"/>
        <v>Leistungswert eintragen</v>
      </c>
      <c r="U48" s="3">
        <f t="shared" si="7"/>
        <v>195</v>
      </c>
      <c r="V48" s="3">
        <f t="shared" si="8"/>
        <v>0</v>
      </c>
    </row>
    <row r="49" spans="1:22" ht="15" customHeight="1" x14ac:dyDescent="0.2">
      <c r="A49" s="96">
        <v>28</v>
      </c>
      <c r="B49" s="107"/>
      <c r="C49" s="108" t="s">
        <v>233</v>
      </c>
      <c r="D49" s="108"/>
      <c r="E49" s="108" t="s">
        <v>236</v>
      </c>
      <c r="F49" s="108" t="s">
        <v>218</v>
      </c>
      <c r="G49" s="109">
        <v>21.09</v>
      </c>
      <c r="H49" s="109"/>
      <c r="I49" s="109"/>
      <c r="J49" s="96" t="s">
        <v>237</v>
      </c>
      <c r="K49" s="96" t="s">
        <v>146</v>
      </c>
      <c r="L49" s="43">
        <f>VLOOKUP(K49,Reinigungstage!A10:F31,6,FALSE)</f>
        <v>2</v>
      </c>
      <c r="M49" s="43">
        <f t="shared" si="0"/>
        <v>42.18</v>
      </c>
      <c r="N49" s="110">
        <f t="shared" si="1"/>
        <v>0</v>
      </c>
      <c r="O49" s="43">
        <f ca="1">IF('SVS UnterhaltsRG'!H61="",0,'SVS UnterhaltsRG'!H61)</f>
        <v>0</v>
      </c>
      <c r="P49" s="43">
        <f t="shared" si="2"/>
        <v>0</v>
      </c>
      <c r="Q49" s="43">
        <f t="shared" ca="1" si="3"/>
        <v>0</v>
      </c>
      <c r="R49" s="43">
        <f t="shared" si="4"/>
        <v>0</v>
      </c>
      <c r="S49" s="43">
        <f t="shared" ca="1" si="5"/>
        <v>0</v>
      </c>
      <c r="T49" s="3" t="str">
        <f t="shared" si="6"/>
        <v>Leistungswert eintragen</v>
      </c>
      <c r="U49" s="3">
        <f t="shared" si="7"/>
        <v>195</v>
      </c>
      <c r="V49" s="3">
        <f t="shared" si="8"/>
        <v>0</v>
      </c>
    </row>
    <row r="50" spans="1:22" ht="15" customHeight="1" x14ac:dyDescent="0.2">
      <c r="A50" s="96">
        <v>29</v>
      </c>
      <c r="B50" s="107"/>
      <c r="C50" s="108" t="s">
        <v>233</v>
      </c>
      <c r="D50" s="108"/>
      <c r="E50" s="108" t="s">
        <v>237</v>
      </c>
      <c r="F50" s="108" t="s">
        <v>218</v>
      </c>
      <c r="G50" s="109">
        <v>24.67</v>
      </c>
      <c r="H50" s="109"/>
      <c r="I50" s="109"/>
      <c r="J50" s="96" t="s">
        <v>237</v>
      </c>
      <c r="K50" s="96" t="s">
        <v>146</v>
      </c>
      <c r="L50" s="43">
        <f>VLOOKUP(K50,Reinigungstage!A10:F31,6,FALSE)</f>
        <v>2</v>
      </c>
      <c r="M50" s="43">
        <f t="shared" si="0"/>
        <v>49.34</v>
      </c>
      <c r="N50" s="110">
        <f t="shared" si="1"/>
        <v>0</v>
      </c>
      <c r="O50" s="43">
        <f ca="1">IF('SVS UnterhaltsRG'!H61="",0,'SVS UnterhaltsRG'!H61)</f>
        <v>0</v>
      </c>
      <c r="P50" s="43">
        <f t="shared" si="2"/>
        <v>0</v>
      </c>
      <c r="Q50" s="43">
        <f t="shared" ca="1" si="3"/>
        <v>0</v>
      </c>
      <c r="R50" s="43">
        <f t="shared" si="4"/>
        <v>0</v>
      </c>
      <c r="S50" s="43">
        <f t="shared" ca="1" si="5"/>
        <v>0</v>
      </c>
      <c r="T50" s="3" t="str">
        <f t="shared" si="6"/>
        <v>Leistungswert eintragen</v>
      </c>
      <c r="U50" s="3">
        <f t="shared" si="7"/>
        <v>195</v>
      </c>
      <c r="V50" s="3">
        <f t="shared" si="8"/>
        <v>0</v>
      </c>
    </row>
    <row r="51" spans="1:22" ht="15" customHeight="1" x14ac:dyDescent="0.2">
      <c r="A51" s="96">
        <v>30</v>
      </c>
      <c r="B51" s="107"/>
      <c r="C51" s="108" t="s">
        <v>233</v>
      </c>
      <c r="D51" s="108" t="s">
        <v>238</v>
      </c>
      <c r="E51" s="108" t="s">
        <v>217</v>
      </c>
      <c r="F51" s="108" t="s">
        <v>218</v>
      </c>
      <c r="G51" s="109">
        <v>45.72</v>
      </c>
      <c r="H51" s="109"/>
      <c r="I51" s="109"/>
      <c r="J51" s="96" t="s">
        <v>258</v>
      </c>
      <c r="K51" s="96" t="s">
        <v>146</v>
      </c>
      <c r="L51" s="43">
        <f>VLOOKUP(K51,Reinigungstage!A10:F31,6,FALSE)</f>
        <v>2</v>
      </c>
      <c r="M51" s="43">
        <f t="shared" si="0"/>
        <v>91.44</v>
      </c>
      <c r="N51" s="110">
        <f t="shared" si="1"/>
        <v>0</v>
      </c>
      <c r="O51" s="43">
        <f ca="1">IF('SVS UnterhaltsRG'!H61="",0,'SVS UnterhaltsRG'!H61)</f>
        <v>0</v>
      </c>
      <c r="P51" s="43">
        <f t="shared" si="2"/>
        <v>0</v>
      </c>
      <c r="Q51" s="43">
        <f t="shared" ca="1" si="3"/>
        <v>0</v>
      </c>
      <c r="R51" s="43">
        <f t="shared" si="4"/>
        <v>0</v>
      </c>
      <c r="S51" s="43">
        <f t="shared" ca="1" si="5"/>
        <v>0</v>
      </c>
      <c r="T51" s="3" t="str">
        <f t="shared" si="6"/>
        <v>Leistungswert eintragen</v>
      </c>
      <c r="U51" s="3">
        <f t="shared" si="7"/>
        <v>240</v>
      </c>
      <c r="V51" s="3">
        <f t="shared" si="8"/>
        <v>0</v>
      </c>
    </row>
    <row r="52" spans="1:22" ht="15" customHeight="1" x14ac:dyDescent="0.2">
      <c r="A52" s="96">
        <v>31</v>
      </c>
      <c r="B52" s="107"/>
      <c r="C52" s="108" t="s">
        <v>233</v>
      </c>
      <c r="D52" s="108"/>
      <c r="E52" s="108" t="s">
        <v>217</v>
      </c>
      <c r="F52" s="108" t="s">
        <v>218</v>
      </c>
      <c r="G52" s="109">
        <v>36.96</v>
      </c>
      <c r="H52" s="109"/>
      <c r="I52" s="109"/>
      <c r="J52" s="96" t="s">
        <v>258</v>
      </c>
      <c r="K52" s="96" t="s">
        <v>146</v>
      </c>
      <c r="L52" s="43">
        <f>VLOOKUP(K52,Reinigungstage!A10:F31,6,FALSE)</f>
        <v>2</v>
      </c>
      <c r="M52" s="43">
        <f t="shared" si="0"/>
        <v>73.92</v>
      </c>
      <c r="N52" s="110">
        <f t="shared" si="1"/>
        <v>0</v>
      </c>
      <c r="O52" s="43">
        <f ca="1">IF('SVS UnterhaltsRG'!H61="",0,'SVS UnterhaltsRG'!H61)</f>
        <v>0</v>
      </c>
      <c r="P52" s="43">
        <f t="shared" si="2"/>
        <v>0</v>
      </c>
      <c r="Q52" s="43">
        <f t="shared" ca="1" si="3"/>
        <v>0</v>
      </c>
      <c r="R52" s="43">
        <f t="shared" si="4"/>
        <v>0</v>
      </c>
      <c r="S52" s="43">
        <f t="shared" ca="1" si="5"/>
        <v>0</v>
      </c>
      <c r="T52" s="3" t="str">
        <f t="shared" si="6"/>
        <v>Leistungswert eintragen</v>
      </c>
      <c r="U52" s="3">
        <f t="shared" si="7"/>
        <v>240</v>
      </c>
      <c r="V52" s="3">
        <f t="shared" si="8"/>
        <v>0</v>
      </c>
    </row>
    <row r="53" spans="1:22" ht="15" customHeight="1" x14ac:dyDescent="0.2">
      <c r="A53" s="96">
        <v>32</v>
      </c>
      <c r="B53" s="107">
        <v>16</v>
      </c>
      <c r="C53" s="108" t="s">
        <v>233</v>
      </c>
      <c r="D53" s="108" t="s">
        <v>239</v>
      </c>
      <c r="E53" s="108" t="s">
        <v>217</v>
      </c>
      <c r="F53" s="108" t="s">
        <v>218</v>
      </c>
      <c r="G53" s="109">
        <v>67.53</v>
      </c>
      <c r="H53" s="109"/>
      <c r="I53" s="109"/>
      <c r="J53" s="96" t="s">
        <v>258</v>
      </c>
      <c r="K53" s="96" t="s">
        <v>146</v>
      </c>
      <c r="L53" s="43">
        <f>VLOOKUP(K53,Reinigungstage!A10:F31,6,FALSE)</f>
        <v>2</v>
      </c>
      <c r="M53" s="43">
        <f t="shared" si="0"/>
        <v>135.06</v>
      </c>
      <c r="N53" s="110">
        <f t="shared" si="1"/>
        <v>0</v>
      </c>
      <c r="O53" s="43">
        <f ca="1">IF('SVS UnterhaltsRG'!H61="",0,'SVS UnterhaltsRG'!H61)</f>
        <v>0</v>
      </c>
      <c r="P53" s="43">
        <f t="shared" si="2"/>
        <v>0</v>
      </c>
      <c r="Q53" s="43">
        <f t="shared" ca="1" si="3"/>
        <v>0</v>
      </c>
      <c r="R53" s="43">
        <f t="shared" si="4"/>
        <v>0</v>
      </c>
      <c r="S53" s="43">
        <f t="shared" ca="1" si="5"/>
        <v>0</v>
      </c>
      <c r="T53" s="3" t="str">
        <f t="shared" si="6"/>
        <v>Leistungswert eintragen</v>
      </c>
      <c r="U53" s="3">
        <f t="shared" si="7"/>
        <v>240</v>
      </c>
      <c r="V53" s="3">
        <f t="shared" si="8"/>
        <v>0</v>
      </c>
    </row>
    <row r="54" spans="1:22" ht="15" customHeight="1" x14ac:dyDescent="0.2">
      <c r="A54" s="96">
        <v>33</v>
      </c>
      <c r="B54" s="107"/>
      <c r="C54" s="108" t="s">
        <v>233</v>
      </c>
      <c r="D54" s="108" t="s">
        <v>240</v>
      </c>
      <c r="E54" s="108" t="s">
        <v>217</v>
      </c>
      <c r="F54" s="108" t="s">
        <v>218</v>
      </c>
      <c r="G54" s="109">
        <v>14.83</v>
      </c>
      <c r="H54" s="109"/>
      <c r="I54" s="109"/>
      <c r="J54" s="96" t="s">
        <v>258</v>
      </c>
      <c r="K54" s="96" t="s">
        <v>146</v>
      </c>
      <c r="L54" s="43">
        <f>VLOOKUP(K54,Reinigungstage!A10:F31,6,FALSE)</f>
        <v>2</v>
      </c>
      <c r="M54" s="43">
        <f t="shared" ref="M54:M78" si="9">ROUND(IF(L54=0,0,L54*G54),2)</f>
        <v>29.66</v>
      </c>
      <c r="N54" s="110">
        <f t="shared" ref="N54:N78" si="10">VLOOKUP(J54,$G$4:$H$11,2,FALSE)</f>
        <v>0</v>
      </c>
      <c r="O54" s="43">
        <f ca="1">IF('SVS UnterhaltsRG'!H61="",0,'SVS UnterhaltsRG'!H61)</f>
        <v>0</v>
      </c>
      <c r="P54" s="43">
        <f t="shared" ref="P54:P78" si="11">ROUND(IF(N54=0,0,M54/N54),2)</f>
        <v>0</v>
      </c>
      <c r="Q54" s="43">
        <f t="shared" ref="Q54:Q78" ca="1" si="12">IF(M54=0,0,IF(O54="",0,ROUND(P54*O54,2)))</f>
        <v>0</v>
      </c>
      <c r="R54" s="43">
        <f t="shared" ref="R54:R78" si="13">ROUND(IF(P54=0,0,P54/L54),2)</f>
        <v>0</v>
      </c>
      <c r="S54" s="43">
        <f t="shared" ref="S54:S78" ca="1" si="14">ROUND(IF(Q54=0,0,Q54/L54),2)</f>
        <v>0</v>
      </c>
      <c r="T54" s="3" t="str">
        <f t="shared" ref="T54:T78" si="15">IF(M54=0,"",IF(N54=0,"Leistungswert eintragen",IF(O54=0,"SVS prüfen","")))</f>
        <v>Leistungswert eintragen</v>
      </c>
      <c r="U54" s="3">
        <f t="shared" ref="U54:U78" si="16">VLOOKUP(J54,$U$4:$V$11,2,FALSE)</f>
        <v>240</v>
      </c>
      <c r="V54" s="3">
        <f t="shared" ref="V54:V78" si="17">IF(M54=0,0,IF(U54&lt;N54,1,IF(U54&gt;=N54,0,"")))</f>
        <v>0</v>
      </c>
    </row>
    <row r="55" spans="1:22" ht="15" customHeight="1" x14ac:dyDescent="0.2">
      <c r="A55" s="96">
        <v>34</v>
      </c>
      <c r="B55" s="107"/>
      <c r="C55" s="108" t="s">
        <v>233</v>
      </c>
      <c r="D55" s="108"/>
      <c r="E55" s="108" t="s">
        <v>241</v>
      </c>
      <c r="F55" s="108" t="s">
        <v>218</v>
      </c>
      <c r="G55" s="109">
        <v>6</v>
      </c>
      <c r="H55" s="109"/>
      <c r="I55" s="109"/>
      <c r="J55" s="96" t="s">
        <v>262</v>
      </c>
      <c r="K55" s="96" t="s">
        <v>146</v>
      </c>
      <c r="L55" s="43">
        <f>VLOOKUP(K55,Reinigungstage!A10:F31,6,FALSE)</f>
        <v>2</v>
      </c>
      <c r="M55" s="43">
        <f t="shared" si="9"/>
        <v>12</v>
      </c>
      <c r="N55" s="110">
        <f t="shared" si="10"/>
        <v>0</v>
      </c>
      <c r="O55" s="43">
        <f ca="1">IF('SVS UnterhaltsRG'!H61="",0,'SVS UnterhaltsRG'!H61)</f>
        <v>0</v>
      </c>
      <c r="P55" s="43">
        <f t="shared" si="11"/>
        <v>0</v>
      </c>
      <c r="Q55" s="43">
        <f t="shared" ca="1" si="12"/>
        <v>0</v>
      </c>
      <c r="R55" s="43">
        <f t="shared" si="13"/>
        <v>0</v>
      </c>
      <c r="S55" s="43">
        <f t="shared" ca="1" si="14"/>
        <v>0</v>
      </c>
      <c r="T55" s="3" t="str">
        <f t="shared" si="15"/>
        <v>Leistungswert eintragen</v>
      </c>
      <c r="U55" s="3">
        <f t="shared" si="16"/>
        <v>300</v>
      </c>
      <c r="V55" s="3">
        <f t="shared" si="17"/>
        <v>0</v>
      </c>
    </row>
    <row r="56" spans="1:22" ht="15" customHeight="1" x14ac:dyDescent="0.2">
      <c r="A56" s="96">
        <v>35</v>
      </c>
      <c r="B56" s="107"/>
      <c r="C56" s="108" t="s">
        <v>233</v>
      </c>
      <c r="D56" s="108"/>
      <c r="E56" s="108" t="s">
        <v>242</v>
      </c>
      <c r="F56" s="108" t="s">
        <v>220</v>
      </c>
      <c r="G56" s="109">
        <v>17.64</v>
      </c>
      <c r="H56" s="109"/>
      <c r="I56" s="109"/>
      <c r="J56" s="96" t="s">
        <v>260</v>
      </c>
      <c r="K56" s="96" t="s">
        <v>146</v>
      </c>
      <c r="L56" s="43">
        <f>VLOOKUP(K56,Reinigungstage!A10:F31,6,FALSE)</f>
        <v>2</v>
      </c>
      <c r="M56" s="43">
        <f t="shared" si="9"/>
        <v>35.28</v>
      </c>
      <c r="N56" s="110">
        <f t="shared" si="10"/>
        <v>0</v>
      </c>
      <c r="O56" s="43">
        <f ca="1">IF('SVS UnterhaltsRG'!H61="",0,'SVS UnterhaltsRG'!H61)</f>
        <v>0</v>
      </c>
      <c r="P56" s="43">
        <f t="shared" si="11"/>
        <v>0</v>
      </c>
      <c r="Q56" s="43">
        <f t="shared" ca="1" si="12"/>
        <v>0</v>
      </c>
      <c r="R56" s="43">
        <f t="shared" si="13"/>
        <v>0</v>
      </c>
      <c r="S56" s="43">
        <f t="shared" ca="1" si="14"/>
        <v>0</v>
      </c>
      <c r="T56" s="3" t="str">
        <f t="shared" si="15"/>
        <v>Leistungswert eintragen</v>
      </c>
      <c r="U56" s="3">
        <f t="shared" si="16"/>
        <v>450</v>
      </c>
      <c r="V56" s="3">
        <f t="shared" si="17"/>
        <v>0</v>
      </c>
    </row>
    <row r="57" spans="1:22" ht="15" customHeight="1" x14ac:dyDescent="0.2">
      <c r="A57" s="96">
        <v>36</v>
      </c>
      <c r="B57" s="107"/>
      <c r="C57" s="108" t="s">
        <v>233</v>
      </c>
      <c r="D57" s="108"/>
      <c r="E57" s="108" t="s">
        <v>243</v>
      </c>
      <c r="F57" s="108" t="s">
        <v>220</v>
      </c>
      <c r="G57" s="109">
        <v>20</v>
      </c>
      <c r="H57" s="109"/>
      <c r="I57" s="109"/>
      <c r="J57" s="96" t="s">
        <v>260</v>
      </c>
      <c r="K57" s="96" t="s">
        <v>146</v>
      </c>
      <c r="L57" s="43">
        <f>VLOOKUP(K57,Reinigungstage!A10:F31,6,FALSE)</f>
        <v>2</v>
      </c>
      <c r="M57" s="43">
        <f t="shared" si="9"/>
        <v>40</v>
      </c>
      <c r="N57" s="110">
        <f t="shared" si="10"/>
        <v>0</v>
      </c>
      <c r="O57" s="43">
        <f ca="1">IF('SVS UnterhaltsRG'!H61="",0,'SVS UnterhaltsRG'!H61)</f>
        <v>0</v>
      </c>
      <c r="P57" s="43">
        <f t="shared" si="11"/>
        <v>0</v>
      </c>
      <c r="Q57" s="43">
        <f t="shared" ca="1" si="12"/>
        <v>0</v>
      </c>
      <c r="R57" s="43">
        <f t="shared" si="13"/>
        <v>0</v>
      </c>
      <c r="S57" s="43">
        <f t="shared" ca="1" si="14"/>
        <v>0</v>
      </c>
      <c r="T57" s="3" t="str">
        <f t="shared" si="15"/>
        <v>Leistungswert eintragen</v>
      </c>
      <c r="U57" s="3">
        <f t="shared" si="16"/>
        <v>450</v>
      </c>
      <c r="V57" s="3">
        <f t="shared" si="17"/>
        <v>0</v>
      </c>
    </row>
    <row r="58" spans="1:22" ht="15" customHeight="1" x14ac:dyDescent="0.2">
      <c r="A58" s="96">
        <v>37</v>
      </c>
      <c r="B58" s="107"/>
      <c r="C58" s="108" t="s">
        <v>233</v>
      </c>
      <c r="D58" s="108"/>
      <c r="E58" s="108" t="s">
        <v>223</v>
      </c>
      <c r="F58" s="108" t="s">
        <v>244</v>
      </c>
      <c r="G58" s="109">
        <v>6.4</v>
      </c>
      <c r="H58" s="109"/>
      <c r="I58" s="109"/>
      <c r="J58" s="96" t="s">
        <v>223</v>
      </c>
      <c r="K58" s="96" t="s">
        <v>146</v>
      </c>
      <c r="L58" s="43">
        <f>VLOOKUP(K58,Reinigungstage!A10:F31,6,FALSE)</f>
        <v>2</v>
      </c>
      <c r="M58" s="43">
        <f t="shared" si="9"/>
        <v>12.8</v>
      </c>
      <c r="N58" s="110">
        <f t="shared" si="10"/>
        <v>0</v>
      </c>
      <c r="O58" s="43">
        <f ca="1">IF('SVS UnterhaltsRG'!H61="",0,'SVS UnterhaltsRG'!H61)</f>
        <v>0</v>
      </c>
      <c r="P58" s="43">
        <f t="shared" si="11"/>
        <v>0</v>
      </c>
      <c r="Q58" s="43">
        <f t="shared" ca="1" si="12"/>
        <v>0</v>
      </c>
      <c r="R58" s="43">
        <f t="shared" si="13"/>
        <v>0</v>
      </c>
      <c r="S58" s="43">
        <f t="shared" ca="1" si="14"/>
        <v>0</v>
      </c>
      <c r="T58" s="3" t="str">
        <f t="shared" si="15"/>
        <v>Leistungswert eintragen</v>
      </c>
      <c r="U58" s="3">
        <f t="shared" si="16"/>
        <v>165</v>
      </c>
      <c r="V58" s="3">
        <f t="shared" si="17"/>
        <v>0</v>
      </c>
    </row>
    <row r="59" spans="1:22" ht="15" customHeight="1" x14ac:dyDescent="0.2">
      <c r="A59" s="96">
        <v>38</v>
      </c>
      <c r="B59" s="107"/>
      <c r="C59" s="108" t="s">
        <v>233</v>
      </c>
      <c r="D59" s="108" t="s">
        <v>245</v>
      </c>
      <c r="E59" s="108" t="s">
        <v>222</v>
      </c>
      <c r="F59" s="108" t="s">
        <v>220</v>
      </c>
      <c r="G59" s="109">
        <v>39.36</v>
      </c>
      <c r="H59" s="109"/>
      <c r="I59" s="109"/>
      <c r="J59" s="96" t="s">
        <v>260</v>
      </c>
      <c r="K59" s="96" t="s">
        <v>146</v>
      </c>
      <c r="L59" s="43">
        <f>VLOOKUP(K59,Reinigungstage!A10:F31,6,FALSE)</f>
        <v>2</v>
      </c>
      <c r="M59" s="43">
        <f t="shared" si="9"/>
        <v>78.72</v>
      </c>
      <c r="N59" s="110">
        <f t="shared" si="10"/>
        <v>0</v>
      </c>
      <c r="O59" s="43">
        <f ca="1">IF('SVS UnterhaltsRG'!H61="",0,'SVS UnterhaltsRG'!H61)</f>
        <v>0</v>
      </c>
      <c r="P59" s="43">
        <f t="shared" si="11"/>
        <v>0</v>
      </c>
      <c r="Q59" s="43">
        <f t="shared" ca="1" si="12"/>
        <v>0</v>
      </c>
      <c r="R59" s="43">
        <f t="shared" si="13"/>
        <v>0</v>
      </c>
      <c r="S59" s="43">
        <f t="shared" ca="1" si="14"/>
        <v>0</v>
      </c>
      <c r="T59" s="3" t="str">
        <f t="shared" si="15"/>
        <v>Leistungswert eintragen</v>
      </c>
      <c r="U59" s="3">
        <f t="shared" si="16"/>
        <v>450</v>
      </c>
      <c r="V59" s="3">
        <f t="shared" si="17"/>
        <v>0</v>
      </c>
    </row>
    <row r="60" spans="1:22" ht="15" customHeight="1" x14ac:dyDescent="0.2">
      <c r="A60" s="96">
        <v>39</v>
      </c>
      <c r="B60" s="107"/>
      <c r="C60" s="108" t="s">
        <v>233</v>
      </c>
      <c r="D60" s="108"/>
      <c r="E60" s="108" t="s">
        <v>246</v>
      </c>
      <c r="F60" s="108" t="s">
        <v>218</v>
      </c>
      <c r="G60" s="109">
        <v>41.81</v>
      </c>
      <c r="H60" s="109"/>
      <c r="I60" s="109"/>
      <c r="J60" s="96" t="s">
        <v>258</v>
      </c>
      <c r="K60" s="96" t="s">
        <v>146</v>
      </c>
      <c r="L60" s="43">
        <f>VLOOKUP(K60,Reinigungstage!A10:F31,6,FALSE)</f>
        <v>2</v>
      </c>
      <c r="M60" s="43">
        <f t="shared" si="9"/>
        <v>83.62</v>
      </c>
      <c r="N60" s="110">
        <f t="shared" si="10"/>
        <v>0</v>
      </c>
      <c r="O60" s="43">
        <f ca="1">IF('SVS UnterhaltsRG'!H61="",0,'SVS UnterhaltsRG'!H61)</f>
        <v>0</v>
      </c>
      <c r="P60" s="43">
        <f t="shared" si="11"/>
        <v>0</v>
      </c>
      <c r="Q60" s="43">
        <f t="shared" ca="1" si="12"/>
        <v>0</v>
      </c>
      <c r="R60" s="43">
        <f t="shared" si="13"/>
        <v>0</v>
      </c>
      <c r="S60" s="43">
        <f t="shared" ca="1" si="14"/>
        <v>0</v>
      </c>
      <c r="T60" s="3" t="str">
        <f t="shared" si="15"/>
        <v>Leistungswert eintragen</v>
      </c>
      <c r="U60" s="3">
        <f t="shared" si="16"/>
        <v>240</v>
      </c>
      <c r="V60" s="3">
        <f t="shared" si="17"/>
        <v>0</v>
      </c>
    </row>
    <row r="61" spans="1:22" ht="15" customHeight="1" x14ac:dyDescent="0.2">
      <c r="A61" s="96">
        <v>40</v>
      </c>
      <c r="B61" s="107"/>
      <c r="C61" s="108" t="s">
        <v>233</v>
      </c>
      <c r="D61" s="108"/>
      <c r="E61" s="108" t="s">
        <v>223</v>
      </c>
      <c r="F61" s="108" t="s">
        <v>220</v>
      </c>
      <c r="G61" s="109">
        <v>22.05</v>
      </c>
      <c r="H61" s="109"/>
      <c r="I61" s="109"/>
      <c r="J61" s="96" t="s">
        <v>223</v>
      </c>
      <c r="K61" s="96" t="s">
        <v>146</v>
      </c>
      <c r="L61" s="43">
        <f>VLOOKUP(K61,Reinigungstage!A10:F31,6,FALSE)</f>
        <v>2</v>
      </c>
      <c r="M61" s="43">
        <f t="shared" si="9"/>
        <v>44.1</v>
      </c>
      <c r="N61" s="110">
        <f t="shared" si="10"/>
        <v>0</v>
      </c>
      <c r="O61" s="43">
        <f ca="1">IF('SVS UnterhaltsRG'!H61="",0,'SVS UnterhaltsRG'!H61)</f>
        <v>0</v>
      </c>
      <c r="P61" s="43">
        <f t="shared" si="11"/>
        <v>0</v>
      </c>
      <c r="Q61" s="43">
        <f t="shared" ca="1" si="12"/>
        <v>0</v>
      </c>
      <c r="R61" s="43">
        <f t="shared" si="13"/>
        <v>0</v>
      </c>
      <c r="S61" s="43">
        <f t="shared" ca="1" si="14"/>
        <v>0</v>
      </c>
      <c r="T61" s="3" t="str">
        <f t="shared" si="15"/>
        <v>Leistungswert eintragen</v>
      </c>
      <c r="U61" s="3">
        <f t="shared" si="16"/>
        <v>165</v>
      </c>
      <c r="V61" s="3">
        <f t="shared" si="17"/>
        <v>0</v>
      </c>
    </row>
    <row r="62" spans="1:22" ht="15" customHeight="1" x14ac:dyDescent="0.2">
      <c r="A62" s="96">
        <v>41</v>
      </c>
      <c r="B62" s="107"/>
      <c r="C62" s="108" t="s">
        <v>233</v>
      </c>
      <c r="D62" s="108"/>
      <c r="E62" s="108" t="s">
        <v>223</v>
      </c>
      <c r="F62" s="108" t="s">
        <v>218</v>
      </c>
      <c r="G62" s="109">
        <v>12.88</v>
      </c>
      <c r="H62" s="109"/>
      <c r="I62" s="109"/>
      <c r="J62" s="96" t="s">
        <v>223</v>
      </c>
      <c r="K62" s="96" t="s">
        <v>146</v>
      </c>
      <c r="L62" s="43">
        <f>VLOOKUP(K62,Reinigungstage!A10:F31,6,FALSE)</f>
        <v>2</v>
      </c>
      <c r="M62" s="43">
        <f t="shared" si="9"/>
        <v>25.76</v>
      </c>
      <c r="N62" s="110">
        <f t="shared" si="10"/>
        <v>0</v>
      </c>
      <c r="O62" s="43">
        <f ca="1">IF('SVS UnterhaltsRG'!H61="",0,'SVS UnterhaltsRG'!H61)</f>
        <v>0</v>
      </c>
      <c r="P62" s="43">
        <f t="shared" si="11"/>
        <v>0</v>
      </c>
      <c r="Q62" s="43">
        <f t="shared" ca="1" si="12"/>
        <v>0</v>
      </c>
      <c r="R62" s="43">
        <f t="shared" si="13"/>
        <v>0</v>
      </c>
      <c r="S62" s="43">
        <f t="shared" ca="1" si="14"/>
        <v>0</v>
      </c>
      <c r="T62" s="3" t="str">
        <f t="shared" si="15"/>
        <v>Leistungswert eintragen</v>
      </c>
      <c r="U62" s="3">
        <f t="shared" si="16"/>
        <v>165</v>
      </c>
      <c r="V62" s="3">
        <f t="shared" si="17"/>
        <v>0</v>
      </c>
    </row>
    <row r="63" spans="1:22" ht="15" customHeight="1" x14ac:dyDescent="0.2">
      <c r="A63" s="96">
        <v>42</v>
      </c>
      <c r="B63" s="107"/>
      <c r="C63" s="108" t="s">
        <v>233</v>
      </c>
      <c r="D63" s="108"/>
      <c r="E63" s="108" t="s">
        <v>232</v>
      </c>
      <c r="F63" s="108" t="s">
        <v>220</v>
      </c>
      <c r="G63" s="109">
        <v>4.45</v>
      </c>
      <c r="H63" s="109"/>
      <c r="I63" s="109"/>
      <c r="J63" s="96" t="s">
        <v>223</v>
      </c>
      <c r="K63" s="96" t="s">
        <v>146</v>
      </c>
      <c r="L63" s="43">
        <f>VLOOKUP(K63,Reinigungstage!A10:F31,6,FALSE)</f>
        <v>2</v>
      </c>
      <c r="M63" s="43">
        <f t="shared" si="9"/>
        <v>8.9</v>
      </c>
      <c r="N63" s="110">
        <f t="shared" si="10"/>
        <v>0</v>
      </c>
      <c r="O63" s="43">
        <f ca="1">IF('SVS UnterhaltsRG'!H61="",0,'SVS UnterhaltsRG'!H61)</f>
        <v>0</v>
      </c>
      <c r="P63" s="43">
        <f t="shared" si="11"/>
        <v>0</v>
      </c>
      <c r="Q63" s="43">
        <f t="shared" ca="1" si="12"/>
        <v>0</v>
      </c>
      <c r="R63" s="43">
        <f t="shared" si="13"/>
        <v>0</v>
      </c>
      <c r="S63" s="43">
        <f t="shared" ca="1" si="14"/>
        <v>0</v>
      </c>
      <c r="T63" s="3" t="str">
        <f t="shared" si="15"/>
        <v>Leistungswert eintragen</v>
      </c>
      <c r="U63" s="3">
        <f t="shared" si="16"/>
        <v>165</v>
      </c>
      <c r="V63" s="3">
        <f t="shared" si="17"/>
        <v>0</v>
      </c>
    </row>
    <row r="64" spans="1:22" ht="15" customHeight="1" x14ac:dyDescent="0.2">
      <c r="A64" s="96">
        <v>43</v>
      </c>
      <c r="B64" s="107"/>
      <c r="C64" s="108" t="s">
        <v>233</v>
      </c>
      <c r="D64" s="108"/>
      <c r="E64" s="108" t="s">
        <v>223</v>
      </c>
      <c r="F64" s="108" t="s">
        <v>218</v>
      </c>
      <c r="G64" s="109">
        <v>7.15</v>
      </c>
      <c r="H64" s="109"/>
      <c r="I64" s="109"/>
      <c r="J64" s="96" t="s">
        <v>223</v>
      </c>
      <c r="K64" s="96" t="s">
        <v>146</v>
      </c>
      <c r="L64" s="43">
        <f>VLOOKUP(K64,Reinigungstage!A10:F31,6,FALSE)</f>
        <v>2</v>
      </c>
      <c r="M64" s="43">
        <f t="shared" si="9"/>
        <v>14.3</v>
      </c>
      <c r="N64" s="110">
        <f t="shared" si="10"/>
        <v>0</v>
      </c>
      <c r="O64" s="43">
        <f ca="1">IF('SVS UnterhaltsRG'!H61="",0,'SVS UnterhaltsRG'!H61)</f>
        <v>0</v>
      </c>
      <c r="P64" s="43">
        <f t="shared" si="11"/>
        <v>0</v>
      </c>
      <c r="Q64" s="43">
        <f t="shared" ca="1" si="12"/>
        <v>0</v>
      </c>
      <c r="R64" s="43">
        <f t="shared" si="13"/>
        <v>0</v>
      </c>
      <c r="S64" s="43">
        <f t="shared" ca="1" si="14"/>
        <v>0</v>
      </c>
      <c r="T64" s="3" t="str">
        <f t="shared" si="15"/>
        <v>Leistungswert eintragen</v>
      </c>
      <c r="U64" s="3">
        <f t="shared" si="16"/>
        <v>165</v>
      </c>
      <c r="V64" s="3">
        <f t="shared" si="17"/>
        <v>0</v>
      </c>
    </row>
    <row r="65" spans="1:22" ht="15" customHeight="1" x14ac:dyDescent="0.2">
      <c r="A65" s="96">
        <v>44</v>
      </c>
      <c r="B65" s="107" t="s">
        <v>247</v>
      </c>
      <c r="C65" s="108" t="s">
        <v>248</v>
      </c>
      <c r="D65" s="108"/>
      <c r="E65" s="108" t="s">
        <v>217</v>
      </c>
      <c r="F65" s="108" t="s">
        <v>218</v>
      </c>
      <c r="G65" s="109">
        <v>61.29</v>
      </c>
      <c r="H65" s="109"/>
      <c r="I65" s="109"/>
      <c r="J65" s="96" t="s">
        <v>258</v>
      </c>
      <c r="K65" s="96" t="s">
        <v>146</v>
      </c>
      <c r="L65" s="43">
        <f>VLOOKUP(K65,Reinigungstage!A10:F31,6,FALSE)</f>
        <v>2</v>
      </c>
      <c r="M65" s="43">
        <f t="shared" si="9"/>
        <v>122.58</v>
      </c>
      <c r="N65" s="110">
        <f t="shared" si="10"/>
        <v>0</v>
      </c>
      <c r="O65" s="43">
        <f ca="1">IF('SVS UnterhaltsRG'!H61="",0,'SVS UnterhaltsRG'!H61)</f>
        <v>0</v>
      </c>
      <c r="P65" s="43">
        <f t="shared" si="11"/>
        <v>0</v>
      </c>
      <c r="Q65" s="43">
        <f t="shared" ca="1" si="12"/>
        <v>0</v>
      </c>
      <c r="R65" s="43">
        <f t="shared" si="13"/>
        <v>0</v>
      </c>
      <c r="S65" s="43">
        <f t="shared" ca="1" si="14"/>
        <v>0</v>
      </c>
      <c r="T65" s="3" t="str">
        <f t="shared" si="15"/>
        <v>Leistungswert eintragen</v>
      </c>
      <c r="U65" s="3">
        <f t="shared" si="16"/>
        <v>240</v>
      </c>
      <c r="V65" s="3">
        <f t="shared" si="17"/>
        <v>0</v>
      </c>
    </row>
    <row r="66" spans="1:22" ht="15" customHeight="1" x14ac:dyDescent="0.2">
      <c r="A66" s="96">
        <v>45</v>
      </c>
      <c r="B66" s="107"/>
      <c r="C66" s="108" t="s">
        <v>248</v>
      </c>
      <c r="D66" s="108"/>
      <c r="E66" s="108" t="s">
        <v>222</v>
      </c>
      <c r="F66" s="108" t="s">
        <v>220</v>
      </c>
      <c r="G66" s="109">
        <v>69.709999999999994</v>
      </c>
      <c r="H66" s="109"/>
      <c r="I66" s="109"/>
      <c r="J66" s="96" t="s">
        <v>260</v>
      </c>
      <c r="K66" s="96" t="s">
        <v>146</v>
      </c>
      <c r="L66" s="43">
        <f>VLOOKUP(K66,Reinigungstage!A10:F31,6,FALSE)</f>
        <v>2</v>
      </c>
      <c r="M66" s="43">
        <f t="shared" si="9"/>
        <v>139.41999999999999</v>
      </c>
      <c r="N66" s="110">
        <f t="shared" si="10"/>
        <v>0</v>
      </c>
      <c r="O66" s="43">
        <f ca="1">IF('SVS UnterhaltsRG'!H61="",0,'SVS UnterhaltsRG'!H61)</f>
        <v>0</v>
      </c>
      <c r="P66" s="43">
        <f t="shared" si="11"/>
        <v>0</v>
      </c>
      <c r="Q66" s="43">
        <f t="shared" ca="1" si="12"/>
        <v>0</v>
      </c>
      <c r="R66" s="43">
        <f t="shared" si="13"/>
        <v>0</v>
      </c>
      <c r="S66" s="43">
        <f t="shared" ca="1" si="14"/>
        <v>0</v>
      </c>
      <c r="T66" s="3" t="str">
        <f t="shared" si="15"/>
        <v>Leistungswert eintragen</v>
      </c>
      <c r="U66" s="3">
        <f t="shared" si="16"/>
        <v>450</v>
      </c>
      <c r="V66" s="3">
        <f t="shared" si="17"/>
        <v>0</v>
      </c>
    </row>
    <row r="67" spans="1:22" ht="15" customHeight="1" x14ac:dyDescent="0.2">
      <c r="A67" s="96">
        <v>46</v>
      </c>
      <c r="B67" s="107"/>
      <c r="C67" s="108" t="s">
        <v>248</v>
      </c>
      <c r="D67" s="108"/>
      <c r="E67" s="108" t="s">
        <v>226</v>
      </c>
      <c r="F67" s="108" t="s">
        <v>220</v>
      </c>
      <c r="G67" s="109">
        <v>9.65</v>
      </c>
      <c r="H67" s="109"/>
      <c r="I67" s="109"/>
      <c r="J67" s="96" t="s">
        <v>259</v>
      </c>
      <c r="K67" s="96" t="s">
        <v>146</v>
      </c>
      <c r="L67" s="43">
        <f>VLOOKUP(K67,Reinigungstage!A10:F31,6,FALSE)</f>
        <v>2</v>
      </c>
      <c r="M67" s="43">
        <f t="shared" si="9"/>
        <v>19.3</v>
      </c>
      <c r="N67" s="110">
        <f t="shared" si="10"/>
        <v>0</v>
      </c>
      <c r="O67" s="43">
        <f ca="1">IF('SVS UnterhaltsRG'!H61="",0,'SVS UnterhaltsRG'!H61)</f>
        <v>0</v>
      </c>
      <c r="P67" s="43">
        <f t="shared" si="11"/>
        <v>0</v>
      </c>
      <c r="Q67" s="43">
        <f t="shared" ca="1" si="12"/>
        <v>0</v>
      </c>
      <c r="R67" s="43">
        <f t="shared" si="13"/>
        <v>0</v>
      </c>
      <c r="S67" s="43">
        <f t="shared" ca="1" si="14"/>
        <v>0</v>
      </c>
      <c r="T67" s="3" t="str">
        <f t="shared" si="15"/>
        <v>Leistungswert eintragen</v>
      </c>
      <c r="U67" s="3">
        <f t="shared" si="16"/>
        <v>75</v>
      </c>
      <c r="V67" s="3">
        <f t="shared" si="17"/>
        <v>0</v>
      </c>
    </row>
    <row r="68" spans="1:22" ht="15" customHeight="1" x14ac:dyDescent="0.2">
      <c r="A68" s="96">
        <v>47</v>
      </c>
      <c r="B68" s="107"/>
      <c r="C68" s="108" t="s">
        <v>248</v>
      </c>
      <c r="D68" s="108"/>
      <c r="E68" s="108" t="s">
        <v>227</v>
      </c>
      <c r="F68" s="108" t="s">
        <v>220</v>
      </c>
      <c r="G68" s="109">
        <v>11.58</v>
      </c>
      <c r="H68" s="109"/>
      <c r="I68" s="109"/>
      <c r="J68" s="96" t="s">
        <v>259</v>
      </c>
      <c r="K68" s="96" t="s">
        <v>146</v>
      </c>
      <c r="L68" s="43">
        <f>VLOOKUP(K68,Reinigungstage!A10:F31,6,FALSE)</f>
        <v>2</v>
      </c>
      <c r="M68" s="43">
        <f t="shared" si="9"/>
        <v>23.16</v>
      </c>
      <c r="N68" s="110">
        <f t="shared" si="10"/>
        <v>0</v>
      </c>
      <c r="O68" s="43">
        <f ca="1">IF('SVS UnterhaltsRG'!H61="",0,'SVS UnterhaltsRG'!H61)</f>
        <v>0</v>
      </c>
      <c r="P68" s="43">
        <f t="shared" si="11"/>
        <v>0</v>
      </c>
      <c r="Q68" s="43">
        <f t="shared" ca="1" si="12"/>
        <v>0</v>
      </c>
      <c r="R68" s="43">
        <f t="shared" si="13"/>
        <v>0</v>
      </c>
      <c r="S68" s="43">
        <f t="shared" ca="1" si="14"/>
        <v>0</v>
      </c>
      <c r="T68" s="3" t="str">
        <f t="shared" si="15"/>
        <v>Leistungswert eintragen</v>
      </c>
      <c r="U68" s="3">
        <f t="shared" si="16"/>
        <v>75</v>
      </c>
      <c r="V68" s="3">
        <f t="shared" si="17"/>
        <v>0</v>
      </c>
    </row>
    <row r="69" spans="1:22" ht="15" customHeight="1" x14ac:dyDescent="0.2">
      <c r="A69" s="96">
        <v>48</v>
      </c>
      <c r="B69" s="107"/>
      <c r="C69" s="108" t="s">
        <v>248</v>
      </c>
      <c r="D69" s="108"/>
      <c r="E69" s="108" t="s">
        <v>226</v>
      </c>
      <c r="F69" s="108" t="s">
        <v>220</v>
      </c>
      <c r="G69" s="109">
        <v>11.14</v>
      </c>
      <c r="H69" s="109"/>
      <c r="I69" s="109"/>
      <c r="J69" s="96" t="s">
        <v>259</v>
      </c>
      <c r="K69" s="96" t="s">
        <v>146</v>
      </c>
      <c r="L69" s="43">
        <f>VLOOKUP(K69,Reinigungstage!A10:F31,6,FALSE)</f>
        <v>2</v>
      </c>
      <c r="M69" s="43">
        <f t="shared" si="9"/>
        <v>22.28</v>
      </c>
      <c r="N69" s="110">
        <f t="shared" si="10"/>
        <v>0</v>
      </c>
      <c r="O69" s="43">
        <f ca="1">IF('SVS UnterhaltsRG'!H61="",0,'SVS UnterhaltsRG'!H61)</f>
        <v>0</v>
      </c>
      <c r="P69" s="43">
        <f t="shared" si="11"/>
        <v>0</v>
      </c>
      <c r="Q69" s="43">
        <f t="shared" ca="1" si="12"/>
        <v>0</v>
      </c>
      <c r="R69" s="43">
        <f t="shared" si="13"/>
        <v>0</v>
      </c>
      <c r="S69" s="43">
        <f t="shared" ca="1" si="14"/>
        <v>0</v>
      </c>
      <c r="T69" s="3" t="str">
        <f t="shared" si="15"/>
        <v>Leistungswert eintragen</v>
      </c>
      <c r="U69" s="3">
        <f t="shared" si="16"/>
        <v>75</v>
      </c>
      <c r="V69" s="3">
        <f t="shared" si="17"/>
        <v>0</v>
      </c>
    </row>
    <row r="70" spans="1:22" ht="15" customHeight="1" x14ac:dyDescent="0.2">
      <c r="A70" s="96">
        <v>49</v>
      </c>
      <c r="B70" s="107"/>
      <c r="C70" s="108" t="s">
        <v>248</v>
      </c>
      <c r="D70" s="108"/>
      <c r="E70" s="108" t="s">
        <v>249</v>
      </c>
      <c r="F70" s="108" t="s">
        <v>218</v>
      </c>
      <c r="G70" s="109">
        <v>22.94</v>
      </c>
      <c r="H70" s="109"/>
      <c r="I70" s="109"/>
      <c r="J70" s="96" t="s">
        <v>262</v>
      </c>
      <c r="K70" s="96" t="s">
        <v>146</v>
      </c>
      <c r="L70" s="43">
        <f>VLOOKUP(K70,Reinigungstage!A10:F31,6,FALSE)</f>
        <v>2</v>
      </c>
      <c r="M70" s="43">
        <f t="shared" si="9"/>
        <v>45.88</v>
      </c>
      <c r="N70" s="110">
        <f t="shared" si="10"/>
        <v>0</v>
      </c>
      <c r="O70" s="43">
        <f ca="1">IF('SVS UnterhaltsRG'!H61="",0,'SVS UnterhaltsRG'!H61)</f>
        <v>0</v>
      </c>
      <c r="P70" s="43">
        <f t="shared" si="11"/>
        <v>0</v>
      </c>
      <c r="Q70" s="43">
        <f t="shared" ca="1" si="12"/>
        <v>0</v>
      </c>
      <c r="R70" s="43">
        <f t="shared" si="13"/>
        <v>0</v>
      </c>
      <c r="S70" s="43">
        <f t="shared" ca="1" si="14"/>
        <v>0</v>
      </c>
      <c r="T70" s="3" t="str">
        <f t="shared" si="15"/>
        <v>Leistungswert eintragen</v>
      </c>
      <c r="U70" s="3">
        <f t="shared" si="16"/>
        <v>300</v>
      </c>
      <c r="V70" s="3">
        <f t="shared" si="17"/>
        <v>0</v>
      </c>
    </row>
    <row r="71" spans="1:22" ht="15" customHeight="1" x14ac:dyDescent="0.2">
      <c r="A71" s="96">
        <v>50</v>
      </c>
      <c r="B71" s="107"/>
      <c r="C71" s="108" t="s">
        <v>248</v>
      </c>
      <c r="D71" s="108"/>
      <c r="E71" s="108" t="s">
        <v>250</v>
      </c>
      <c r="F71" s="108" t="s">
        <v>218</v>
      </c>
      <c r="G71" s="109">
        <v>67.599999999999994</v>
      </c>
      <c r="H71" s="109"/>
      <c r="I71" s="109"/>
      <c r="J71" s="96" t="s">
        <v>263</v>
      </c>
      <c r="K71" s="96" t="s">
        <v>146</v>
      </c>
      <c r="L71" s="43">
        <f>VLOOKUP(K71,Reinigungstage!A10:F31,6,FALSE)</f>
        <v>2</v>
      </c>
      <c r="M71" s="43">
        <f t="shared" si="9"/>
        <v>135.19999999999999</v>
      </c>
      <c r="N71" s="110">
        <f t="shared" si="10"/>
        <v>0</v>
      </c>
      <c r="O71" s="43">
        <f ca="1">IF('SVS UnterhaltsRG'!H61="",0,'SVS UnterhaltsRG'!H61)</f>
        <v>0</v>
      </c>
      <c r="P71" s="43">
        <f t="shared" si="11"/>
        <v>0</v>
      </c>
      <c r="Q71" s="43">
        <f t="shared" ca="1" si="12"/>
        <v>0</v>
      </c>
      <c r="R71" s="43">
        <f t="shared" si="13"/>
        <v>0</v>
      </c>
      <c r="S71" s="43">
        <f t="shared" ca="1" si="14"/>
        <v>0</v>
      </c>
      <c r="T71" s="3" t="str">
        <f t="shared" si="15"/>
        <v>Leistungswert eintragen</v>
      </c>
      <c r="U71" s="3">
        <f t="shared" si="16"/>
        <v>115</v>
      </c>
      <c r="V71" s="3">
        <f t="shared" si="17"/>
        <v>0</v>
      </c>
    </row>
    <row r="72" spans="1:22" ht="21" x14ac:dyDescent="0.2">
      <c r="A72" s="96">
        <v>51</v>
      </c>
      <c r="B72" s="107"/>
      <c r="C72" s="108" t="s">
        <v>248</v>
      </c>
      <c r="D72" s="108" t="s">
        <v>254</v>
      </c>
      <c r="E72" s="108" t="s">
        <v>222</v>
      </c>
      <c r="F72" s="108" t="s">
        <v>220</v>
      </c>
      <c r="G72" s="109">
        <v>16.75</v>
      </c>
      <c r="H72" s="109"/>
      <c r="I72" s="109"/>
      <c r="J72" s="96" t="s">
        <v>260</v>
      </c>
      <c r="K72" s="96" t="s">
        <v>146</v>
      </c>
      <c r="L72" s="43">
        <f>VLOOKUP(K72,Reinigungstage!A10:F31,6,FALSE)</f>
        <v>2</v>
      </c>
      <c r="M72" s="43">
        <f t="shared" si="9"/>
        <v>33.5</v>
      </c>
      <c r="N72" s="110">
        <f t="shared" si="10"/>
        <v>0</v>
      </c>
      <c r="O72" s="43">
        <f ca="1">IF('SVS UnterhaltsRG'!H61="",0,'SVS UnterhaltsRG'!H61)</f>
        <v>0</v>
      </c>
      <c r="P72" s="43">
        <f t="shared" si="11"/>
        <v>0</v>
      </c>
      <c r="Q72" s="43">
        <f t="shared" ca="1" si="12"/>
        <v>0</v>
      </c>
      <c r="R72" s="43">
        <f t="shared" si="13"/>
        <v>0</v>
      </c>
      <c r="S72" s="43">
        <f t="shared" ca="1" si="14"/>
        <v>0</v>
      </c>
      <c r="T72" s="3" t="str">
        <f t="shared" si="15"/>
        <v>Leistungswert eintragen</v>
      </c>
      <c r="U72" s="3">
        <f t="shared" si="16"/>
        <v>450</v>
      </c>
      <c r="V72" s="3">
        <f t="shared" si="17"/>
        <v>0</v>
      </c>
    </row>
    <row r="73" spans="1:22" ht="15" customHeight="1" x14ac:dyDescent="0.2">
      <c r="A73" s="96">
        <v>52</v>
      </c>
      <c r="B73" s="107"/>
      <c r="C73" s="108" t="s">
        <v>248</v>
      </c>
      <c r="D73" s="108"/>
      <c r="E73" s="108" t="s">
        <v>217</v>
      </c>
      <c r="F73" s="108" t="s">
        <v>218</v>
      </c>
      <c r="G73" s="109">
        <v>45.45</v>
      </c>
      <c r="H73" s="109"/>
      <c r="I73" s="109"/>
      <c r="J73" s="96" t="s">
        <v>258</v>
      </c>
      <c r="K73" s="96" t="s">
        <v>146</v>
      </c>
      <c r="L73" s="43">
        <f>VLOOKUP(K73,Reinigungstage!A10:F31,6,FALSE)</f>
        <v>2</v>
      </c>
      <c r="M73" s="43">
        <f t="shared" si="9"/>
        <v>90.9</v>
      </c>
      <c r="N73" s="110">
        <f t="shared" si="10"/>
        <v>0</v>
      </c>
      <c r="O73" s="43">
        <f ca="1">IF('SVS UnterhaltsRG'!H61="",0,'SVS UnterhaltsRG'!H61)</f>
        <v>0</v>
      </c>
      <c r="P73" s="43">
        <f t="shared" si="11"/>
        <v>0</v>
      </c>
      <c r="Q73" s="43">
        <f t="shared" ca="1" si="12"/>
        <v>0</v>
      </c>
      <c r="R73" s="43">
        <f t="shared" si="13"/>
        <v>0</v>
      </c>
      <c r="S73" s="43">
        <f t="shared" ca="1" si="14"/>
        <v>0</v>
      </c>
      <c r="T73" s="3" t="str">
        <f t="shared" si="15"/>
        <v>Leistungswert eintragen</v>
      </c>
      <c r="U73" s="3">
        <f t="shared" si="16"/>
        <v>240</v>
      </c>
      <c r="V73" s="3">
        <f t="shared" si="17"/>
        <v>0</v>
      </c>
    </row>
    <row r="74" spans="1:22" ht="15" customHeight="1" x14ac:dyDescent="0.2">
      <c r="A74" s="96">
        <v>53</v>
      </c>
      <c r="B74" s="107"/>
      <c r="C74" s="108" t="s">
        <v>248</v>
      </c>
      <c r="D74" s="108"/>
      <c r="E74" s="108" t="s">
        <v>217</v>
      </c>
      <c r="F74" s="108" t="s">
        <v>218</v>
      </c>
      <c r="G74" s="109">
        <v>32.1</v>
      </c>
      <c r="H74" s="109"/>
      <c r="I74" s="109"/>
      <c r="J74" s="96" t="s">
        <v>258</v>
      </c>
      <c r="K74" s="96" t="s">
        <v>146</v>
      </c>
      <c r="L74" s="43">
        <f>VLOOKUP(K74,Reinigungstage!A10:F31,6,FALSE)</f>
        <v>2</v>
      </c>
      <c r="M74" s="43">
        <f t="shared" si="9"/>
        <v>64.2</v>
      </c>
      <c r="N74" s="110">
        <f t="shared" si="10"/>
        <v>0</v>
      </c>
      <c r="O74" s="43">
        <f ca="1">IF('SVS UnterhaltsRG'!H61="",0,'SVS UnterhaltsRG'!H61)</f>
        <v>0</v>
      </c>
      <c r="P74" s="43">
        <f t="shared" si="11"/>
        <v>0</v>
      </c>
      <c r="Q74" s="43">
        <f t="shared" ca="1" si="12"/>
        <v>0</v>
      </c>
      <c r="R74" s="43">
        <f t="shared" si="13"/>
        <v>0</v>
      </c>
      <c r="S74" s="43">
        <f t="shared" ca="1" si="14"/>
        <v>0</v>
      </c>
      <c r="T74" s="3" t="str">
        <f t="shared" si="15"/>
        <v>Leistungswert eintragen</v>
      </c>
      <c r="U74" s="3">
        <f t="shared" si="16"/>
        <v>240</v>
      </c>
      <c r="V74" s="3">
        <f t="shared" si="17"/>
        <v>0</v>
      </c>
    </row>
    <row r="75" spans="1:22" ht="15" customHeight="1" x14ac:dyDescent="0.2">
      <c r="A75" s="96">
        <v>54</v>
      </c>
      <c r="B75" s="107"/>
      <c r="C75" s="108" t="s">
        <v>248</v>
      </c>
      <c r="D75" s="108"/>
      <c r="E75" s="108" t="s">
        <v>227</v>
      </c>
      <c r="F75" s="108" t="s">
        <v>220</v>
      </c>
      <c r="G75" s="109">
        <v>11.33</v>
      </c>
      <c r="H75" s="109"/>
      <c r="I75" s="109"/>
      <c r="J75" s="96" t="s">
        <v>259</v>
      </c>
      <c r="K75" s="96" t="s">
        <v>146</v>
      </c>
      <c r="L75" s="43">
        <f>VLOOKUP(K75,Reinigungstage!A10:F31,6,FALSE)</f>
        <v>2</v>
      </c>
      <c r="M75" s="43">
        <f t="shared" si="9"/>
        <v>22.66</v>
      </c>
      <c r="N75" s="110">
        <f t="shared" si="10"/>
        <v>0</v>
      </c>
      <c r="O75" s="43">
        <f ca="1">IF('SVS UnterhaltsRG'!H61="",0,'SVS UnterhaltsRG'!H61)</f>
        <v>0</v>
      </c>
      <c r="P75" s="43">
        <f t="shared" si="11"/>
        <v>0</v>
      </c>
      <c r="Q75" s="43">
        <f t="shared" ca="1" si="12"/>
        <v>0</v>
      </c>
      <c r="R75" s="43">
        <f t="shared" si="13"/>
        <v>0</v>
      </c>
      <c r="S75" s="43">
        <f t="shared" ca="1" si="14"/>
        <v>0</v>
      </c>
      <c r="T75" s="3" t="str">
        <f t="shared" si="15"/>
        <v>Leistungswert eintragen</v>
      </c>
      <c r="U75" s="3">
        <f t="shared" si="16"/>
        <v>75</v>
      </c>
      <c r="V75" s="3">
        <f t="shared" si="17"/>
        <v>0</v>
      </c>
    </row>
    <row r="76" spans="1:22" ht="15" customHeight="1" x14ac:dyDescent="0.2">
      <c r="A76" s="96">
        <v>55</v>
      </c>
      <c r="B76" s="107"/>
      <c r="C76" s="108" t="s">
        <v>248</v>
      </c>
      <c r="D76" s="108" t="s">
        <v>255</v>
      </c>
      <c r="E76" s="108" t="s">
        <v>217</v>
      </c>
      <c r="F76" s="108" t="s">
        <v>218</v>
      </c>
      <c r="G76" s="109">
        <v>25.22</v>
      </c>
      <c r="H76" s="109"/>
      <c r="I76" s="109"/>
      <c r="J76" s="96" t="s">
        <v>258</v>
      </c>
      <c r="K76" s="96" t="s">
        <v>146</v>
      </c>
      <c r="L76" s="43">
        <f>VLOOKUP(K76,Reinigungstage!A10:F31,6,FALSE)</f>
        <v>2</v>
      </c>
      <c r="M76" s="43">
        <f t="shared" si="9"/>
        <v>50.44</v>
      </c>
      <c r="N76" s="110">
        <f t="shared" si="10"/>
        <v>0</v>
      </c>
      <c r="O76" s="43">
        <f ca="1">IF('SVS UnterhaltsRG'!H61="",0,'SVS UnterhaltsRG'!H61)</f>
        <v>0</v>
      </c>
      <c r="P76" s="43">
        <f t="shared" si="11"/>
        <v>0</v>
      </c>
      <c r="Q76" s="43">
        <f t="shared" ca="1" si="12"/>
        <v>0</v>
      </c>
      <c r="R76" s="43">
        <f t="shared" si="13"/>
        <v>0</v>
      </c>
      <c r="S76" s="43">
        <f t="shared" ca="1" si="14"/>
        <v>0</v>
      </c>
      <c r="T76" s="3" t="str">
        <f t="shared" si="15"/>
        <v>Leistungswert eintragen</v>
      </c>
      <c r="U76" s="3">
        <f t="shared" si="16"/>
        <v>240</v>
      </c>
      <c r="V76" s="3">
        <f t="shared" si="17"/>
        <v>0</v>
      </c>
    </row>
    <row r="77" spans="1:22" ht="15" customHeight="1" x14ac:dyDescent="0.2">
      <c r="A77" s="96">
        <v>56</v>
      </c>
      <c r="B77" s="107"/>
      <c r="C77" s="108" t="s">
        <v>248</v>
      </c>
      <c r="D77" s="108" t="s">
        <v>255</v>
      </c>
      <c r="E77" s="108" t="s">
        <v>217</v>
      </c>
      <c r="F77" s="108" t="s">
        <v>218</v>
      </c>
      <c r="G77" s="109">
        <v>20.12</v>
      </c>
      <c r="H77" s="109"/>
      <c r="I77" s="109"/>
      <c r="J77" s="96" t="s">
        <v>258</v>
      </c>
      <c r="K77" s="96" t="s">
        <v>146</v>
      </c>
      <c r="L77" s="43">
        <f>VLOOKUP(K77,Reinigungstage!A10:F31,6,FALSE)</f>
        <v>2</v>
      </c>
      <c r="M77" s="43">
        <f t="shared" si="9"/>
        <v>40.24</v>
      </c>
      <c r="N77" s="110">
        <f t="shared" si="10"/>
        <v>0</v>
      </c>
      <c r="O77" s="43">
        <f ca="1">IF('SVS UnterhaltsRG'!H61="",0,'SVS UnterhaltsRG'!H61)</f>
        <v>0</v>
      </c>
      <c r="P77" s="43">
        <f t="shared" si="11"/>
        <v>0</v>
      </c>
      <c r="Q77" s="43">
        <f t="shared" ca="1" si="12"/>
        <v>0</v>
      </c>
      <c r="R77" s="43">
        <f t="shared" si="13"/>
        <v>0</v>
      </c>
      <c r="S77" s="43">
        <f t="shared" ca="1" si="14"/>
        <v>0</v>
      </c>
      <c r="T77" s="3" t="str">
        <f t="shared" si="15"/>
        <v>Leistungswert eintragen</v>
      </c>
      <c r="U77" s="3">
        <f t="shared" si="16"/>
        <v>240</v>
      </c>
      <c r="V77" s="3">
        <f t="shared" si="17"/>
        <v>0</v>
      </c>
    </row>
    <row r="78" spans="1:22" ht="15" customHeight="1" x14ac:dyDescent="0.2">
      <c r="A78" s="96">
        <v>57</v>
      </c>
      <c r="B78" s="107" t="s">
        <v>256</v>
      </c>
      <c r="C78" s="108" t="s">
        <v>248</v>
      </c>
      <c r="D78" s="108"/>
      <c r="E78" s="108" t="s">
        <v>257</v>
      </c>
      <c r="F78" s="108" t="s">
        <v>218</v>
      </c>
      <c r="G78" s="109">
        <v>16.53</v>
      </c>
      <c r="H78" s="109"/>
      <c r="I78" s="109"/>
      <c r="J78" s="96" t="s">
        <v>262</v>
      </c>
      <c r="K78" s="96" t="s">
        <v>146</v>
      </c>
      <c r="L78" s="43">
        <f>VLOOKUP(K78,Reinigungstage!A10:F31,6,FALSE)</f>
        <v>2</v>
      </c>
      <c r="M78" s="43">
        <f t="shared" si="9"/>
        <v>33.06</v>
      </c>
      <c r="N78" s="110">
        <f t="shared" si="10"/>
        <v>0</v>
      </c>
      <c r="O78" s="43">
        <f ca="1">IF('SVS UnterhaltsRG'!H61="",0,'SVS UnterhaltsRG'!H61)</f>
        <v>0</v>
      </c>
      <c r="P78" s="43">
        <f t="shared" si="11"/>
        <v>0</v>
      </c>
      <c r="Q78" s="43">
        <f t="shared" ca="1" si="12"/>
        <v>0</v>
      </c>
      <c r="R78" s="43">
        <f t="shared" si="13"/>
        <v>0</v>
      </c>
      <c r="S78" s="43">
        <f t="shared" ca="1" si="14"/>
        <v>0</v>
      </c>
      <c r="T78" s="3" t="str">
        <f t="shared" si="15"/>
        <v>Leistungswert eintragen</v>
      </c>
      <c r="U78" s="3">
        <f t="shared" si="16"/>
        <v>300</v>
      </c>
      <c r="V78" s="3">
        <f t="shared" si="17"/>
        <v>0</v>
      </c>
    </row>
  </sheetData>
  <sheetProtection algorithmName="SHA-512" hashValue="6qWyXnzdcZBvGYsMgNDdTBxEXpEli5j5HNEHCrRcx/cVhdDjw9OgnFAHOgWDnDxq923PM1YsleL6j22qxq3utw==" saltValue="1N9ZPOIBGEN19Y+rXQei3g=="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00"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99" priority="5" operator="containsText" text="Bitte prüfen Sie diese.">
      <formula>NOT(ISERROR(SEARCH("Bitte prüfen Sie diese.",L9)))</formula>
    </cfRule>
  </conditionalFormatting>
  <conditionalFormatting sqref="L10">
    <cfRule type="containsText" dxfId="98"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97" priority="3" operator="containsText" text="lediglich Fehleingaben vermeiden wollen.">
      <formula>NOT(ISERROR(SEARCH("lediglich Fehleingaben vermeiden wollen.",L11)))</formula>
    </cfRule>
  </conditionalFormatting>
  <conditionalFormatting sqref="M11">
    <cfRule type="containsText" dxfId="96"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95" priority="7" operator="containsText" text="für die Objektart prüfen.">
      <formula>NOT(ISERROR(SEARCH("für die Objektart prüfen.",M12)))</formula>
    </cfRule>
  </conditionalFormatting>
  <conditionalFormatting sqref="N13">
    <cfRule type="expression" dxfId="94" priority="2" stopIfTrue="1">
      <formula>N13=0</formula>
    </cfRule>
  </conditionalFormatting>
  <conditionalFormatting sqref="N14">
    <cfRule type="expression" dxfId="93" priority="1">
      <formula>N14=0</formula>
    </cfRule>
  </conditionalFormatting>
  <conditionalFormatting sqref="N22:N78">
    <cfRule type="expression" dxfId="92" priority="11">
      <formula>V22=0</formula>
    </cfRule>
    <cfRule type="expression" dxfId="91" priority="12" stopIfTrue="1">
      <formula>V22=1</formula>
    </cfRule>
  </conditionalFormatting>
  <conditionalFormatting sqref="O13">
    <cfRule type="containsText" dxfId="90"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89" priority="9" operator="containsText" text="Wert(e) prüfen.">
      <formula>NOT(ISERROR(SEARCH("Wert(e) prüfen.",O14)))</formula>
    </cfRule>
  </conditionalFormatting>
  <conditionalFormatting sqref="T22:T78">
    <cfRule type="containsText" dxfId="88" priority="13" stopIfTrue="1" operator="containsText" text="SVS prüfen">
      <formula>NOT(ISERROR(SEARCH("SVS prüfen",T22)))</formula>
    </cfRule>
    <cfRule type="containsText" dxfId="87" priority="14" stopIfTrue="1" operator="containsText" text="Leistungswert eintragen">
      <formula>NOT(ISERROR(SEARCH("Leistungswert eintragen",T22)))</formula>
    </cfRule>
  </conditionalFormatting>
  <hyperlinks>
    <hyperlink ref="M1" location="Inhaltsverzeichnis!A1" display="Zurück zum Inhaltsverzeichnis" xr:uid="{4F189383-4249-4D3D-BCAB-D9862413BFB0}"/>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Unter Bed GS Pannwitz</oddFooter>
  </headerFooter>
  <rowBreaks count="1" manualBreakCount="1">
    <brk id="78" max="16383" man="1"/>
  </rowBreaks>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8546"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8547"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8548"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185AF-4421-43AC-8064-90E361AF753B}">
  <sheetPr codeName="Tabelle38">
    <tabColor indexed="40"/>
  </sheetPr>
  <dimension ref="A1:X22"/>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1.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7" t="s">
        <v>151</v>
      </c>
      <c r="B2" s="158"/>
      <c r="C2" s="158"/>
      <c r="D2" s="158"/>
      <c r="E2" s="159"/>
      <c r="G2" s="160" t="s">
        <v>164</v>
      </c>
      <c r="H2" s="160" t="s">
        <v>156</v>
      </c>
      <c r="I2" s="160" t="s">
        <v>157</v>
      </c>
      <c r="J2" s="160" t="s">
        <v>176</v>
      </c>
      <c r="M2" s="92" t="b">
        <v>0</v>
      </c>
      <c r="N2" s="132"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2"/>
      <c r="P2" s="132"/>
      <c r="Q2" s="132"/>
    </row>
    <row r="3" spans="1:22" ht="24" customHeight="1" x14ac:dyDescent="0.2">
      <c r="A3" s="93" t="s">
        <v>214</v>
      </c>
      <c r="B3" s="94"/>
      <c r="C3" s="94"/>
      <c r="D3" s="94"/>
      <c r="E3" s="95"/>
      <c r="G3" s="161"/>
      <c r="H3" s="161"/>
      <c r="I3" s="161"/>
      <c r="J3" s="161"/>
      <c r="M3" s="92" t="b">
        <v>0</v>
      </c>
      <c r="N3" s="132"/>
      <c r="O3" s="132"/>
      <c r="P3" s="132"/>
      <c r="Q3" s="132"/>
    </row>
    <row r="4" spans="1:22" ht="18.600000000000001" customHeight="1" x14ac:dyDescent="0.2">
      <c r="A4" s="155" t="s">
        <v>91</v>
      </c>
      <c r="B4" s="165" t="str">
        <f>IF(Inhaltsverzeichnis!C3="","",Inhaltsverzeichnis!C3)</f>
        <v/>
      </c>
      <c r="C4" s="166"/>
      <c r="D4" s="166"/>
      <c r="E4" s="167"/>
      <c r="G4" s="96" t="s">
        <v>262</v>
      </c>
      <c r="H4" s="97"/>
      <c r="I4" s="98">
        <f ca="1">SUMIF('Kal Grund Bed GS Pannwitz'!J22:M22,$G$4,'Kal Grund Bed GS Pannwitz'!M22:M22)</f>
        <v>6</v>
      </c>
      <c r="J4" s="69">
        <f>COUNTIFS('Kal Grund Bed GS Pannwitz'!J22:M22,$G$4)</f>
        <v>1</v>
      </c>
      <c r="M4" s="92" t="b">
        <v>0</v>
      </c>
      <c r="N4" s="132"/>
      <c r="O4" s="132"/>
      <c r="P4" s="132"/>
      <c r="Q4" s="132"/>
      <c r="U4" s="96" t="s">
        <v>237</v>
      </c>
      <c r="V4" s="3">
        <v>13</v>
      </c>
    </row>
    <row r="5" spans="1:22" ht="15" customHeight="1" x14ac:dyDescent="0.2">
      <c r="A5" s="156"/>
      <c r="B5" s="168"/>
      <c r="C5" s="169"/>
      <c r="D5" s="169"/>
      <c r="E5" s="170"/>
      <c r="M5" s="92" t="b">
        <v>0</v>
      </c>
      <c r="N5" s="132"/>
      <c r="O5" s="132"/>
      <c r="P5" s="132"/>
      <c r="Q5" s="132"/>
      <c r="U5" s="96" t="s">
        <v>261</v>
      </c>
      <c r="V5" s="3">
        <v>15</v>
      </c>
    </row>
    <row r="6" spans="1:22" ht="15" customHeight="1" x14ac:dyDescent="0.2">
      <c r="A6" s="99" t="s">
        <v>174</v>
      </c>
      <c r="B6" s="171" t="s">
        <v>201</v>
      </c>
      <c r="C6" s="172"/>
      <c r="D6" s="172"/>
      <c r="E6" s="173"/>
      <c r="U6" s="96" t="s">
        <v>259</v>
      </c>
      <c r="V6" s="3">
        <v>7</v>
      </c>
    </row>
    <row r="7" spans="1:22" ht="15" customHeight="1" x14ac:dyDescent="0.2">
      <c r="A7" s="100" t="s">
        <v>172</v>
      </c>
      <c r="B7" s="174" t="s">
        <v>202</v>
      </c>
      <c r="C7" s="172"/>
      <c r="D7" s="172"/>
      <c r="E7" s="173"/>
      <c r="U7" s="96" t="s">
        <v>262</v>
      </c>
      <c r="V7" s="3">
        <v>20</v>
      </c>
    </row>
    <row r="8" spans="1:22" ht="15" customHeight="1" x14ac:dyDescent="0.2">
      <c r="A8" s="100" t="s">
        <v>173</v>
      </c>
      <c r="B8" s="171" t="s">
        <v>203</v>
      </c>
      <c r="C8" s="172"/>
      <c r="D8" s="172"/>
      <c r="E8" s="173"/>
      <c r="L8" s="111" t="str">
        <f>IF(N14&gt;0,"Ihre Eintragungen der Leistungswerte liegen weit über den Erfahrungswerten aus der Preisschätzung.","")</f>
        <v/>
      </c>
      <c r="U8" s="96" t="s">
        <v>223</v>
      </c>
      <c r="V8" s="3">
        <v>14</v>
      </c>
    </row>
    <row r="9" spans="1:22" ht="15" customHeight="1" x14ac:dyDescent="0.2">
      <c r="A9" s="99" t="s">
        <v>171</v>
      </c>
      <c r="B9" s="175" t="s">
        <v>200</v>
      </c>
      <c r="C9" s="172"/>
      <c r="D9" s="172"/>
      <c r="E9" s="173"/>
      <c r="L9" s="111" t="str">
        <f>IF(N14&gt;0,"Bitte prüfen Sie diese.","")</f>
        <v/>
      </c>
      <c r="U9" s="96" t="s">
        <v>258</v>
      </c>
      <c r="V9" s="3">
        <v>14</v>
      </c>
    </row>
    <row r="10" spans="1:22" ht="15" customHeight="1" x14ac:dyDescent="0.2">
      <c r="A10" s="100" t="s">
        <v>153</v>
      </c>
      <c r="B10" s="171" t="s">
        <v>204</v>
      </c>
      <c r="C10" s="172"/>
      <c r="D10" s="172"/>
      <c r="E10" s="173"/>
      <c r="L10" s="111" t="str">
        <f>IF(N14&gt;0,"Beachten Sie, dass Sie frei in der Kalkulation dieser Leistungswerte sind und wir durch den Hinweis","")</f>
        <v/>
      </c>
      <c r="U10" s="96" t="s">
        <v>260</v>
      </c>
      <c r="V10" s="3">
        <v>24</v>
      </c>
    </row>
    <row r="11" spans="1:22" ht="15" customHeight="1" x14ac:dyDescent="0.2">
      <c r="A11" s="100" t="s">
        <v>154</v>
      </c>
      <c r="B11" s="176" t="s">
        <v>205</v>
      </c>
      <c r="C11" s="172"/>
      <c r="D11" s="172"/>
      <c r="E11" s="173"/>
      <c r="L11" s="111" t="str">
        <f>IF(N14&gt;0,"lediglich Fehleingaben vermeiden wollen.","")</f>
        <v/>
      </c>
      <c r="U11" s="96" t="s">
        <v>263</v>
      </c>
      <c r="V11" s="3">
        <v>16.5</v>
      </c>
    </row>
    <row r="12" spans="1:22" ht="15" customHeight="1" x14ac:dyDescent="0.2">
      <c r="A12" s="100" t="s">
        <v>155</v>
      </c>
      <c r="B12" s="171" t="s">
        <v>206</v>
      </c>
      <c r="C12" s="172"/>
      <c r="D12" s="172"/>
      <c r="E12" s="173"/>
    </row>
    <row r="13" spans="1:22" ht="15" customHeight="1" x14ac:dyDescent="0.2">
      <c r="A13" s="100" t="s">
        <v>158</v>
      </c>
      <c r="B13" s="162" t="str">
        <f>HYPERLINK("http://maps.google.de/maps?hl=de&amp;bav=on.2,or.r_qf.&amp;bvm=bv.44770516,d.Yms&amp;biw=1395&amp;bih=916&amp;um=1&amp;ie=UTF-8&amp;q="&amp;B7&amp;"+"&amp;B8&amp;"+"&amp;B10&amp;"+"&amp;B11&amp;"+"&amp;B12&amp;"","In Google-Maps anzeigen (wenn Internet verfügbar)")</f>
        <v>In Google-Maps anzeigen (wenn Internet verfügbar)</v>
      </c>
      <c r="C13" s="163"/>
      <c r="D13" s="163"/>
      <c r="E13" s="164"/>
    </row>
    <row r="14" spans="1:22" ht="15" customHeight="1" x14ac:dyDescent="0.2">
      <c r="N14" s="101">
        <f>COUNTIF(X22:X$22,1)</f>
        <v>0</v>
      </c>
      <c r="O14" s="3" t="str">
        <f>IF(N14&gt;0,"Wert(e) prüfen.","")</f>
        <v/>
      </c>
      <c r="S14" s="103">
        <f>IF(COUNTA($S$22:$S$22)-COUNTBLANK($S$22:$S$22)=0,"",COUNTA($S$22:$S$22)-COUNTBLANK($S$22:$S$22))</f>
        <v>1</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114</v>
      </c>
      <c r="H20" s="1" t="s">
        <v>106</v>
      </c>
      <c r="I20" s="1" t="s">
        <v>107</v>
      </c>
      <c r="J20" s="1" t="s">
        <v>99</v>
      </c>
      <c r="K20" s="1" t="s">
        <v>104</v>
      </c>
      <c r="L20" s="1" t="s">
        <v>108</v>
      </c>
      <c r="M20" s="1" t="s">
        <v>109</v>
      </c>
      <c r="N20" s="1" t="s">
        <v>105</v>
      </c>
      <c r="O20" s="1" t="s">
        <v>110</v>
      </c>
      <c r="P20" s="1" t="s">
        <v>111</v>
      </c>
      <c r="Q20" s="1" t="s">
        <v>112</v>
      </c>
      <c r="R20" s="1" t="s">
        <v>134</v>
      </c>
    </row>
    <row r="21" spans="1:24" ht="29.1" customHeight="1" x14ac:dyDescent="0.2">
      <c r="A21" s="104" t="s">
        <v>119</v>
      </c>
      <c r="B21" s="12"/>
      <c r="C21" s="12"/>
      <c r="D21" s="12"/>
      <c r="E21" s="12"/>
      <c r="F21" s="12"/>
      <c r="G21" s="105">
        <f>SUM($G$22:$G$22)</f>
        <v>6</v>
      </c>
      <c r="H21" s="105">
        <f>SUM($H$22:$H$22)</f>
        <v>0</v>
      </c>
      <c r="I21" s="105">
        <f>SUM($I$22:$I$22)</f>
        <v>0</v>
      </c>
      <c r="J21" s="43"/>
      <c r="K21" s="43"/>
      <c r="L21" s="106">
        <f>MAX(L22)</f>
        <v>1</v>
      </c>
      <c r="M21" s="105">
        <f>SUM($M$22:$M$22)</f>
        <v>6</v>
      </c>
      <c r="N21" s="43"/>
      <c r="O21" s="43"/>
      <c r="P21" s="105">
        <f>SUM($P$22:$P$22)</f>
        <v>0</v>
      </c>
      <c r="Q21" s="105">
        <f>SUM($Q$22:$Q$22)</f>
        <v>0</v>
      </c>
      <c r="R21" s="105">
        <f>ROUND(IF(Q21=0,0,Q21/L21),2)</f>
        <v>0</v>
      </c>
    </row>
    <row r="22" spans="1:24" ht="15" customHeight="1" x14ac:dyDescent="0.2">
      <c r="A22" s="96">
        <v>1</v>
      </c>
      <c r="B22" s="107"/>
      <c r="C22" s="108" t="s">
        <v>233</v>
      </c>
      <c r="D22" s="108"/>
      <c r="E22" s="108" t="s">
        <v>241</v>
      </c>
      <c r="F22" s="108" t="s">
        <v>218</v>
      </c>
      <c r="G22" s="109">
        <v>6</v>
      </c>
      <c r="H22" s="109"/>
      <c r="I22" s="109"/>
      <c r="J22" s="96" t="s">
        <v>262</v>
      </c>
      <c r="K22" s="96" t="s">
        <v>146</v>
      </c>
      <c r="L22" s="43">
        <f>VLOOKUP(K22,Reinigungstage!A10:I31,9,FALSE)</f>
        <v>1</v>
      </c>
      <c r="M22" s="43">
        <f t="shared" ref="M22" si="0">ROUND(IF(L22=0,0,L22*G22),2)</f>
        <v>6</v>
      </c>
      <c r="N22" s="110">
        <f>VLOOKUP(J22,$G$4:$H$11,2,FALSE)</f>
        <v>0</v>
      </c>
      <c r="O22" s="43">
        <f ca="1">IF('SVS GrundRG'!H61="",0,'SVS GrundRG'!H61)</f>
        <v>0</v>
      </c>
      <c r="P22" s="43">
        <f t="shared" ref="P22" si="1">ROUND(IF(N22=0,0,M22/N22),2)</f>
        <v>0</v>
      </c>
      <c r="Q22" s="43">
        <f t="shared" ref="Q22" si="2">ROUND(IF(P22=0,0,P22*O22),2)</f>
        <v>0</v>
      </c>
      <c r="R22" s="43">
        <f t="shared" ref="R22" si="3">ROUND(IF(P22=0,0,Q22/L22),2)</f>
        <v>0</v>
      </c>
      <c r="S22" s="3" t="str">
        <f t="shared" ref="S22" si="4">IF(M22=0,"",IF(N22=0,"Leistungswert eintragen",IF(O22=0,"SVS prüfen","")))</f>
        <v>Leistungswert eintragen</v>
      </c>
      <c r="U22" s="3">
        <f t="shared" ref="U22" si="5">VLOOKUP(J22,$U$4:$V$11,2,FALSE)</f>
        <v>20</v>
      </c>
      <c r="V22" s="3">
        <f t="shared" ref="V22" si="6">U22*30%</f>
        <v>6</v>
      </c>
      <c r="W22" s="3">
        <f t="shared" ref="W22" si="7">SUM(U22:V22)</f>
        <v>26</v>
      </c>
      <c r="X22" s="3" t="str">
        <f t="shared" ref="X22" si="8">IF(N22=0,"",IF(W22&lt;N22,1,IF(W22&gt;=N22,0,"")))</f>
        <v/>
      </c>
    </row>
  </sheetData>
  <sheetProtection algorithmName="SHA-512" hashValue="doWvVxeAjCkf1e/fFZAOVf2b5u9pcqFmm4r8466z4HOfwzsluqALQWo/HjqH2K5/TzkRYGtw6kcNXM5Gr3IF/w==" saltValue="VsnUHiI8Sp861WISpcmmdw==" spinCount="100000" sheet="1" objects="1" scenarios="1"/>
  <sortState xmlns:xlrd2="http://schemas.microsoft.com/office/spreadsheetml/2017/richdata2" ref="U4:U11">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86"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85" priority="5" operator="containsText" text="Bitte prüfen Sie diese.">
      <formula>NOT(ISERROR(SEARCH("Bitte prüfen Sie diese.",L9)))</formula>
    </cfRule>
  </conditionalFormatting>
  <conditionalFormatting sqref="L10">
    <cfRule type="containsText" dxfId="84"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83" priority="3" operator="containsText" text="lediglich Fehleingaben vermeiden wollen.">
      <formula>NOT(ISERROR(SEARCH("lediglich Fehleingaben vermeiden wollen.",L11)))</formula>
    </cfRule>
  </conditionalFormatting>
  <conditionalFormatting sqref="M11">
    <cfRule type="containsText" dxfId="82"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81" priority="7" operator="containsText" text="für die Objektart prüfen.">
      <formula>NOT(ISERROR(SEARCH("für die Objektart prüfen.",M12)))</formula>
    </cfRule>
  </conditionalFormatting>
  <conditionalFormatting sqref="N13">
    <cfRule type="expression" dxfId="80" priority="2" stopIfTrue="1">
      <formula>N13=0</formula>
    </cfRule>
  </conditionalFormatting>
  <conditionalFormatting sqref="N14">
    <cfRule type="expression" dxfId="79" priority="1">
      <formula>N14=0</formula>
    </cfRule>
  </conditionalFormatting>
  <conditionalFormatting sqref="N22">
    <cfRule type="expression" dxfId="78" priority="11">
      <formula>X22=0</formula>
    </cfRule>
    <cfRule type="expression" dxfId="77" priority="12" stopIfTrue="1">
      <formula>X22=1</formula>
    </cfRule>
  </conditionalFormatting>
  <conditionalFormatting sqref="O13">
    <cfRule type="containsText" dxfId="76"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75" priority="9" operator="containsText" text="Wert(e) prüfen.">
      <formula>NOT(ISERROR(SEARCH("Wert(e) prüfen.",O14)))</formula>
    </cfRule>
  </conditionalFormatting>
  <conditionalFormatting sqref="S22">
    <cfRule type="containsText" dxfId="74" priority="13" stopIfTrue="1" operator="containsText" text="SVS prüfen">
      <formula>NOT(ISERROR(SEARCH("SVS prüfen",S22)))</formula>
    </cfRule>
    <cfRule type="containsText" dxfId="73" priority="14" stopIfTrue="1" operator="containsText" text="Leistungswert eintragen">
      <formula>NOT(ISERROR(SEARCH("Leistungswert eintragen",S22)))</formula>
    </cfRule>
  </conditionalFormatting>
  <hyperlinks>
    <hyperlink ref="M1" location="Inhaltsverzeichnis!A1" display="Zurück zum Inhaltsverzeichnis" xr:uid="{2D0F38E4-6A74-4168-9ADC-C95EF9B3B97A}"/>
  </hyperlinks>
  <printOptions horizontalCentered="1"/>
  <pageMargins left="0.78740157480314965" right="0.78740157480314965" top="0.98425196850393704" bottom="0.98425196850393704" header="0.51181102362204722" footer="0.51181102362204722"/>
  <pageSetup paperSize="9" scale="60" fitToWidth="0" fitToHeight="0" orientation="landscape" r:id="rId1"/>
  <headerFooter alignWithMargins="0">
    <oddHeader>&amp;L&amp;F</oddHeader>
    <oddFooter>&amp;LStadt Lychen&amp;CSeite &amp;P von &amp;N&amp;RKal Grund Bed GS Pannwitz</oddFooter>
  </headerFooter>
  <rowBreaks count="1" manualBreakCount="1">
    <brk id="22" max="16383" man="1"/>
  </rowBreaks>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11617"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11618"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11619"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11620"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2.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29</vt:i4>
      </vt:variant>
    </vt:vector>
  </HeadingPairs>
  <TitlesOfParts>
    <vt:vector size="47" baseType="lpstr">
      <vt:lpstr>Inhaltsverzeichnis</vt:lpstr>
      <vt:lpstr>Preisübersicht</vt:lpstr>
      <vt:lpstr>Preisübersicht (nach Bedarf)</vt:lpstr>
      <vt:lpstr>SVS UnterhaltsRG</vt:lpstr>
      <vt:lpstr>SVS GrundRG</vt:lpstr>
      <vt:lpstr>Kal Unter GS Pannwitz</vt:lpstr>
      <vt:lpstr>Kal Grund GS Pannwitz</vt:lpstr>
      <vt:lpstr>Kal Unter Bed GS Pannwitz</vt:lpstr>
      <vt:lpstr>Kal Grund Bed GS Pannwitz</vt:lpstr>
      <vt:lpstr>Kal Unter SH Pannwitz</vt:lpstr>
      <vt:lpstr>Kal Grund SH Pannwitz</vt:lpstr>
      <vt:lpstr>Kal Unter Bed SH Pannwitz</vt:lpstr>
      <vt:lpstr>Kal Unter Bed Sportplatz</vt:lpstr>
      <vt:lpstr>Kal Grund Bed Sportplatz</vt:lpstr>
      <vt:lpstr>Kal Matten Gesamt</vt:lpstr>
      <vt:lpstr>Kal Verbrauch Gesamt</vt:lpstr>
      <vt:lpstr>Kal Ballw u Harzentfernung</vt:lpstr>
      <vt:lpstr>Reinigungstage</vt:lpstr>
      <vt:lpstr>Inhaltsverzeichnis!Druckbereich</vt:lpstr>
      <vt:lpstr>'Kal Ballw u Harzentfernung'!Druckbereich</vt:lpstr>
      <vt:lpstr>'Kal Grund Bed GS Pannwitz'!Druckbereich</vt:lpstr>
      <vt:lpstr>'Kal Grund Bed Sportplatz'!Druckbereich</vt:lpstr>
      <vt:lpstr>'Kal Grund GS Pannwitz'!Druckbereich</vt:lpstr>
      <vt:lpstr>'Kal Grund SH Pannwitz'!Druckbereich</vt:lpstr>
      <vt:lpstr>'Kal Matten Gesamt'!Druckbereich</vt:lpstr>
      <vt:lpstr>'Kal Unter Bed GS Pannwitz'!Druckbereich</vt:lpstr>
      <vt:lpstr>'Kal Unter Bed SH Pannwitz'!Druckbereich</vt:lpstr>
      <vt:lpstr>'Kal Unter Bed Sportplatz'!Druckbereich</vt:lpstr>
      <vt:lpstr>'Kal Unter GS Pannwitz'!Druckbereich</vt:lpstr>
      <vt:lpstr>'Kal Unter SH Pannwitz'!Druckbereich</vt:lpstr>
      <vt:lpstr>'Kal Verbrauch Gesamt'!Druckbereich</vt:lpstr>
      <vt:lpstr>Preisübersicht!Druckbereich</vt:lpstr>
      <vt:lpstr>'Preisübersicht (nach Bedarf)'!Druckbereich</vt:lpstr>
      <vt:lpstr>Reinigungstage!Druckbereich</vt:lpstr>
      <vt:lpstr>'SVS GrundRG'!Druckbereich</vt:lpstr>
      <vt:lpstr>'SVS UnterhaltsRG'!Druckbereich</vt:lpstr>
      <vt:lpstr>'Kal Grund Bed GS Pannwitz'!Drucktitel</vt:lpstr>
      <vt:lpstr>'Kal Grund Bed Sportplatz'!Drucktitel</vt:lpstr>
      <vt:lpstr>'Kal Grund GS Pannwitz'!Drucktitel</vt:lpstr>
      <vt:lpstr>'Kal Grund SH Pannwitz'!Drucktitel</vt:lpstr>
      <vt:lpstr>'Kal Unter Bed GS Pannwitz'!Drucktitel</vt:lpstr>
      <vt:lpstr>'Kal Unter Bed SH Pannwitz'!Drucktitel</vt:lpstr>
      <vt:lpstr>'Kal Unter Bed Sportplatz'!Drucktitel</vt:lpstr>
      <vt:lpstr>'Kal Unter GS Pannwitz'!Drucktitel</vt:lpstr>
      <vt:lpstr>'Kal Unter SH Pannwitz'!Drucktitel</vt:lpstr>
      <vt:lpstr>Preisübersicht!Drucktitel</vt:lpstr>
      <vt:lpstr>'Preisübersicht (nach Bedarf)'!Drucktitel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2026-04-27T07:46:57Z</cp:lastPrinted>
  <dcterms:created xsi:type="dcterms:W3CDTF">2012-06-08T19:50:39Z</dcterms:created>
  <dcterms:modified xsi:type="dcterms:W3CDTF">2026-05-11T09:11:28Z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